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mportant Saves\Documents\SMF\SMF\SMF 2022\Sustainability Group\Gordon Wylie\Items for website\"/>
    </mc:Choice>
  </mc:AlternateContent>
  <xr:revisionPtr revIDLastSave="0" documentId="13_ncr:1_{D3BF8164-99F7-4D4A-BFBE-5B26D9943200}" xr6:coauthVersionLast="47" xr6:coauthVersionMax="47" xr10:uidLastSave="{00000000-0000-0000-0000-000000000000}"/>
  <bookViews>
    <workbookView xWindow="-120" yWindow="-120" windowWidth="29040" windowHeight="15840" xr2:uid="{D784B71F-9507-4788-9932-A5658611EEA0}"/>
  </bookViews>
  <sheets>
    <sheet name="Manchester" sheetId="2" r:id="rId1"/>
    <sheet name="UK" sheetId="1" r:id="rId2"/>
  </sheets>
  <definedNames>
    <definedName name="_Hlk86398048" localSheetId="1">UK!$G$152</definedName>
    <definedName name="_xlnm.Print_Area" localSheetId="0">Manchester!$A$208:$AA$331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F47" i="2" s="1"/>
  <c r="E46" i="2"/>
  <c r="E47" i="2" s="1"/>
  <c r="D46" i="2"/>
  <c r="D47" i="2" s="1"/>
  <c r="C46" i="2"/>
  <c r="C47" i="2" s="1"/>
  <c r="B46" i="2"/>
  <c r="B47" i="2" s="1"/>
  <c r="F47" i="1"/>
  <c r="F48" i="1"/>
  <c r="F57" i="1" s="1"/>
  <c r="E48" i="1"/>
  <c r="D48" i="1"/>
  <c r="D57" i="1" s="1"/>
  <c r="C48" i="1"/>
  <c r="C57" i="1" s="1"/>
  <c r="F46" i="1"/>
  <c r="E46" i="1"/>
  <c r="E47" i="1" s="1"/>
  <c r="D46" i="1"/>
  <c r="C46" i="1"/>
  <c r="C47" i="1" s="1"/>
  <c r="B48" i="1"/>
  <c r="B55" i="1" s="1"/>
  <c r="B46" i="1"/>
  <c r="B316" i="2"/>
  <c r="B336" i="1"/>
  <c r="C308" i="2"/>
  <c r="D308" i="2" s="1"/>
  <c r="D316" i="2" s="1"/>
  <c r="B60" i="1" l="1"/>
  <c r="B65" i="1" s="1"/>
  <c r="B70" i="1" s="1"/>
  <c r="B75" i="1" s="1"/>
  <c r="B47" i="1"/>
  <c r="G48" i="1"/>
  <c r="D47" i="1"/>
  <c r="E57" i="1"/>
  <c r="E62" i="1" s="1"/>
  <c r="E67" i="1" s="1"/>
  <c r="E72" i="1" s="1"/>
  <c r="D62" i="1"/>
  <c r="D67" i="1" s="1"/>
  <c r="D72" i="1" s="1"/>
  <c r="C62" i="1"/>
  <c r="C67" i="1" s="1"/>
  <c r="C72" i="1" s="1"/>
  <c r="F62" i="1"/>
  <c r="F67" i="1" s="1"/>
  <c r="F72" i="1" s="1"/>
  <c r="C55" i="1"/>
  <c r="D55" i="1"/>
  <c r="D60" i="1" s="1"/>
  <c r="E55" i="1"/>
  <c r="F55" i="1"/>
  <c r="F60" i="1" s="1"/>
  <c r="B57" i="1"/>
  <c r="B62" i="1" s="1"/>
  <c r="B67" i="1" s="1"/>
  <c r="B72" i="1" s="1"/>
  <c r="C316" i="2"/>
  <c r="C312" i="2"/>
  <c r="D312" i="2"/>
  <c r="E308" i="2"/>
  <c r="E316" i="2" s="1"/>
  <c r="C328" i="1"/>
  <c r="C336" i="1" s="1"/>
  <c r="G55" i="1" l="1"/>
  <c r="C60" i="1"/>
  <c r="C65" i="1" s="1"/>
  <c r="F65" i="1"/>
  <c r="F70" i="1" s="1"/>
  <c r="F75" i="1" s="1"/>
  <c r="E60" i="1"/>
  <c r="G62" i="1"/>
  <c r="D65" i="1"/>
  <c r="D70" i="1" s="1"/>
  <c r="D75" i="1" s="1"/>
  <c r="G57" i="1"/>
  <c r="E312" i="2"/>
  <c r="F308" i="2"/>
  <c r="F316" i="2" s="1"/>
  <c r="D328" i="1"/>
  <c r="D336" i="1" s="1"/>
  <c r="C332" i="1"/>
  <c r="B391" i="2"/>
  <c r="B185" i="2" s="1"/>
  <c r="B411" i="1"/>
  <c r="B186" i="1" s="1"/>
  <c r="B187" i="1" s="1"/>
  <c r="B347" i="2"/>
  <c r="B345" i="2" s="1"/>
  <c r="B367" i="1"/>
  <c r="B365" i="1" s="1"/>
  <c r="E162" i="2"/>
  <c r="D162" i="2"/>
  <c r="C162" i="2"/>
  <c r="B162" i="2"/>
  <c r="E166" i="2"/>
  <c r="D166" i="2"/>
  <c r="C166" i="2"/>
  <c r="C168" i="2" s="1"/>
  <c r="B166" i="2"/>
  <c r="B168" i="2" s="1"/>
  <c r="E107" i="1"/>
  <c r="D107" i="1"/>
  <c r="C107" i="1"/>
  <c r="B107" i="1"/>
  <c r="F40" i="1"/>
  <c r="E40" i="1"/>
  <c r="D40" i="1"/>
  <c r="C40" i="1"/>
  <c r="B40" i="1"/>
  <c r="E173" i="1"/>
  <c r="D173" i="1"/>
  <c r="C173" i="1"/>
  <c r="B173" i="1"/>
  <c r="E174" i="1"/>
  <c r="D174" i="1"/>
  <c r="C174" i="1"/>
  <c r="B174" i="1"/>
  <c r="E167" i="1"/>
  <c r="E169" i="1" s="1"/>
  <c r="D167" i="1"/>
  <c r="D169" i="1" s="1"/>
  <c r="C167" i="1"/>
  <c r="C169" i="1" s="1"/>
  <c r="B167" i="1"/>
  <c r="B169" i="1" s="1"/>
  <c r="E163" i="1"/>
  <c r="E164" i="1" s="1"/>
  <c r="D163" i="1"/>
  <c r="D164" i="1" s="1"/>
  <c r="C163" i="1"/>
  <c r="C164" i="1" s="1"/>
  <c r="B163" i="1"/>
  <c r="B164" i="1" s="1"/>
  <c r="E162" i="1"/>
  <c r="B321" i="1" s="1"/>
  <c r="D162" i="1"/>
  <c r="B320" i="1" s="1"/>
  <c r="C162" i="1"/>
  <c r="B319" i="1" s="1"/>
  <c r="B162" i="1"/>
  <c r="B318" i="1" s="1"/>
  <c r="E13" i="2"/>
  <c r="D13" i="2"/>
  <c r="C13" i="2"/>
  <c r="B13" i="2"/>
  <c r="G60" i="1" l="1"/>
  <c r="B314" i="1"/>
  <c r="C314" i="1" s="1"/>
  <c r="D314" i="1" s="1"/>
  <c r="G67" i="1"/>
  <c r="G72" i="1" s="1"/>
  <c r="E65" i="1"/>
  <c r="E70" i="1" s="1"/>
  <c r="E75" i="1" s="1"/>
  <c r="C70" i="1"/>
  <c r="C75" i="1" s="1"/>
  <c r="F312" i="2"/>
  <c r="G308" i="2"/>
  <c r="G316" i="2" s="1"/>
  <c r="C185" i="2"/>
  <c r="D185" i="2"/>
  <c r="E185" i="2"/>
  <c r="E328" i="1"/>
  <c r="E336" i="1" s="1"/>
  <c r="D332" i="1"/>
  <c r="C186" i="1"/>
  <c r="C187" i="1" s="1"/>
  <c r="D186" i="1"/>
  <c r="D187" i="1" s="1"/>
  <c r="E186" i="1"/>
  <c r="E187" i="1" s="1"/>
  <c r="B130" i="1"/>
  <c r="B139" i="1"/>
  <c r="G40" i="1"/>
  <c r="B312" i="1" s="1"/>
  <c r="D168" i="2"/>
  <c r="E168" i="2"/>
  <c r="F173" i="1"/>
  <c r="F174" i="1"/>
  <c r="B168" i="1"/>
  <c r="C168" i="1"/>
  <c r="F164" i="1"/>
  <c r="D168" i="1"/>
  <c r="E168" i="1"/>
  <c r="F162" i="1"/>
  <c r="B259" i="2"/>
  <c r="B250" i="2"/>
  <c r="B241" i="2"/>
  <c r="B238" i="2"/>
  <c r="B236" i="2"/>
  <c r="E236" i="2" s="1"/>
  <c r="B215" i="2"/>
  <c r="C215" i="2" s="1"/>
  <c r="N215" i="2" s="1"/>
  <c r="N226" i="2" s="1"/>
  <c r="F13" i="2"/>
  <c r="G13" i="2" s="1"/>
  <c r="F12" i="2"/>
  <c r="G12" i="2" s="1"/>
  <c r="F11" i="2"/>
  <c r="G11" i="2" s="1"/>
  <c r="B279" i="1"/>
  <c r="B270" i="1"/>
  <c r="B261" i="1"/>
  <c r="B256" i="1"/>
  <c r="E256" i="1" s="1"/>
  <c r="B258" i="1"/>
  <c r="G65" i="1" l="1"/>
  <c r="B317" i="1"/>
  <c r="C317" i="1" s="1"/>
  <c r="D317" i="1" s="1"/>
  <c r="G70" i="1"/>
  <c r="G75" i="1" s="1"/>
  <c r="B309" i="1"/>
  <c r="C309" i="1" s="1"/>
  <c r="H308" i="2"/>
  <c r="H316" i="2" s="1"/>
  <c r="G312" i="2"/>
  <c r="B289" i="2"/>
  <c r="C289" i="2" s="1"/>
  <c r="D289" i="2" s="1"/>
  <c r="F328" i="1"/>
  <c r="F336" i="1" s="1"/>
  <c r="E332" i="1"/>
  <c r="F187" i="1"/>
  <c r="D215" i="2"/>
  <c r="D226" i="2" s="1"/>
  <c r="F215" i="2"/>
  <c r="F226" i="2" s="1"/>
  <c r="F168" i="1"/>
  <c r="G215" i="2"/>
  <c r="G226" i="2" s="1"/>
  <c r="H215" i="2"/>
  <c r="H226" i="2" s="1"/>
  <c r="L215" i="2"/>
  <c r="L226" i="2" s="1"/>
  <c r="O215" i="2"/>
  <c r="O226" i="2" s="1"/>
  <c r="M215" i="2"/>
  <c r="M226" i="2" s="1"/>
  <c r="E215" i="2"/>
  <c r="E226" i="2" s="1"/>
  <c r="C226" i="2"/>
  <c r="K215" i="2"/>
  <c r="K226" i="2" s="1"/>
  <c r="J215" i="2"/>
  <c r="J226" i="2" s="1"/>
  <c r="I215" i="2"/>
  <c r="I226" i="2" s="1"/>
  <c r="B226" i="2"/>
  <c r="B239" i="2" s="1"/>
  <c r="B265" i="2" s="1"/>
  <c r="E159" i="1"/>
  <c r="D159" i="1"/>
  <c r="C159" i="1"/>
  <c r="B159" i="1"/>
  <c r="B233" i="1"/>
  <c r="C222" i="1"/>
  <c r="O222" i="1" s="1"/>
  <c r="C231" i="1"/>
  <c r="N231" i="1" s="1"/>
  <c r="C228" i="1"/>
  <c r="O228" i="1" s="1"/>
  <c r="C225" i="1"/>
  <c r="N225" i="1" s="1"/>
  <c r="C219" i="1"/>
  <c r="B216" i="1"/>
  <c r="C216" i="1" s="1"/>
  <c r="C246" i="1" s="1"/>
  <c r="E155" i="1"/>
  <c r="D155" i="1"/>
  <c r="C155" i="1"/>
  <c r="B155" i="1"/>
  <c r="E157" i="1"/>
  <c r="D157" i="1"/>
  <c r="C157" i="1"/>
  <c r="B157" i="1"/>
  <c r="F153" i="1"/>
  <c r="E112" i="1"/>
  <c r="D112" i="1"/>
  <c r="C112" i="1"/>
  <c r="B112" i="1"/>
  <c r="F80" i="1"/>
  <c r="E80" i="1"/>
  <c r="D80" i="1"/>
  <c r="C80" i="1"/>
  <c r="B80" i="1"/>
  <c r="E103" i="1"/>
  <c r="E104" i="1" s="1"/>
  <c r="D103" i="1"/>
  <c r="D104" i="1" s="1"/>
  <c r="C103" i="1"/>
  <c r="C104" i="1" s="1"/>
  <c r="B103" i="1"/>
  <c r="B104" i="1" s="1"/>
  <c r="B6" i="1"/>
  <c r="B118" i="1"/>
  <c r="B121" i="1" s="1"/>
  <c r="B123" i="1" s="1"/>
  <c r="E13" i="1"/>
  <c r="D13" i="1"/>
  <c r="C13" i="1"/>
  <c r="B13" i="1"/>
  <c r="F12" i="1"/>
  <c r="G12" i="1" s="1"/>
  <c r="F11" i="1"/>
  <c r="G11" i="1" s="1"/>
  <c r="E86" i="1"/>
  <c r="D86" i="1"/>
  <c r="C86" i="1"/>
  <c r="B86" i="1"/>
  <c r="F88" i="1"/>
  <c r="F87" i="1"/>
  <c r="F107" i="1" s="1"/>
  <c r="G107" i="1" s="1"/>
  <c r="B313" i="1" s="1"/>
  <c r="C90" i="1"/>
  <c r="C91" i="1" s="1"/>
  <c r="B90" i="1"/>
  <c r="B91" i="1" s="1"/>
  <c r="E90" i="1"/>
  <c r="E91" i="1" s="1"/>
  <c r="D90" i="1"/>
  <c r="D91" i="1" s="1"/>
  <c r="F21" i="1"/>
  <c r="F23" i="1" s="1"/>
  <c r="F24" i="1" s="1"/>
  <c r="E21" i="1"/>
  <c r="E23" i="1" s="1"/>
  <c r="E24" i="1" s="1"/>
  <c r="D21" i="1"/>
  <c r="D23" i="1" s="1"/>
  <c r="D24" i="1" s="1"/>
  <c r="C21" i="1"/>
  <c r="C23" i="1" s="1"/>
  <c r="C24" i="1" s="1"/>
  <c r="B21" i="1"/>
  <c r="B23" i="1" s="1"/>
  <c r="B24" i="1" s="1"/>
  <c r="G20" i="1"/>
  <c r="E50" i="1" l="1"/>
  <c r="E52" i="1" s="1"/>
  <c r="F50" i="1"/>
  <c r="F52" i="1" s="1"/>
  <c r="C50" i="1"/>
  <c r="C52" i="1" s="1"/>
  <c r="D50" i="1"/>
  <c r="D52" i="1" s="1"/>
  <c r="G39" i="1"/>
  <c r="B50" i="1"/>
  <c r="B52" i="1" s="1"/>
  <c r="I308" i="2"/>
  <c r="I316" i="2" s="1"/>
  <c r="H312" i="2"/>
  <c r="G328" i="1"/>
  <c r="G336" i="1" s="1"/>
  <c r="F332" i="1"/>
  <c r="F186" i="1"/>
  <c r="F163" i="1"/>
  <c r="F167" i="1"/>
  <c r="F169" i="1" s="1"/>
  <c r="F161" i="1"/>
  <c r="G87" i="1"/>
  <c r="G106" i="1" s="1"/>
  <c r="F88" i="2"/>
  <c r="B127" i="2"/>
  <c r="B129" i="2" s="1"/>
  <c r="D88" i="2"/>
  <c r="F20" i="2"/>
  <c r="F48" i="2" s="1"/>
  <c r="B116" i="2"/>
  <c r="B117" i="2" s="1"/>
  <c r="C88" i="2"/>
  <c r="E20" i="2"/>
  <c r="E48" i="2" s="1"/>
  <c r="B88" i="2"/>
  <c r="B106" i="2" s="1"/>
  <c r="D20" i="2"/>
  <c r="D48" i="2" s="1"/>
  <c r="E152" i="2"/>
  <c r="E89" i="2"/>
  <c r="B89" i="2"/>
  <c r="C20" i="2"/>
  <c r="D152" i="2"/>
  <c r="D89" i="2"/>
  <c r="B20" i="2"/>
  <c r="C152" i="2"/>
  <c r="C89" i="2"/>
  <c r="B152" i="2"/>
  <c r="B186" i="2" s="1"/>
  <c r="B136" i="2"/>
  <c r="E88" i="2"/>
  <c r="F90" i="1"/>
  <c r="F89" i="2"/>
  <c r="P215" i="2"/>
  <c r="P226" i="2" s="1"/>
  <c r="F159" i="1"/>
  <c r="F158" i="1" s="1"/>
  <c r="F172" i="1" s="1"/>
  <c r="B234" i="1"/>
  <c r="B235" i="1" s="1"/>
  <c r="C233" i="1"/>
  <c r="B246" i="1"/>
  <c r="B259" i="1" s="1"/>
  <c r="B285" i="1" s="1"/>
  <c r="H222" i="1"/>
  <c r="I222" i="1"/>
  <c r="N222" i="1"/>
  <c r="F222" i="1"/>
  <c r="J222" i="1"/>
  <c r="K222" i="1"/>
  <c r="D222" i="1"/>
  <c r="L222" i="1"/>
  <c r="E222" i="1"/>
  <c r="M222" i="1"/>
  <c r="G222" i="1"/>
  <c r="I231" i="1"/>
  <c r="J231" i="1"/>
  <c r="D231" i="1"/>
  <c r="E231" i="1"/>
  <c r="M231" i="1"/>
  <c r="G231" i="1"/>
  <c r="O231" i="1"/>
  <c r="H231" i="1"/>
  <c r="K231" i="1"/>
  <c r="L231" i="1"/>
  <c r="F231" i="1"/>
  <c r="I228" i="1"/>
  <c r="J228" i="1"/>
  <c r="K228" i="1"/>
  <c r="D228" i="1"/>
  <c r="L228" i="1"/>
  <c r="H228" i="1"/>
  <c r="E228" i="1"/>
  <c r="M228" i="1"/>
  <c r="F228" i="1"/>
  <c r="N228" i="1"/>
  <c r="G228" i="1"/>
  <c r="O225" i="1"/>
  <c r="H225" i="1"/>
  <c r="I225" i="1"/>
  <c r="J225" i="1"/>
  <c r="G225" i="1"/>
  <c r="K225" i="1"/>
  <c r="D225" i="1"/>
  <c r="L225" i="1"/>
  <c r="E225" i="1"/>
  <c r="M225" i="1"/>
  <c r="F225" i="1"/>
  <c r="O219" i="1"/>
  <c r="G219" i="1"/>
  <c r="H219" i="1"/>
  <c r="N219" i="1"/>
  <c r="F219" i="1"/>
  <c r="I219" i="1"/>
  <c r="M219" i="1"/>
  <c r="E219" i="1"/>
  <c r="K219" i="1"/>
  <c r="L219" i="1"/>
  <c r="D219" i="1"/>
  <c r="J219" i="1"/>
  <c r="L216" i="1"/>
  <c r="L246" i="1" s="1"/>
  <c r="D216" i="1"/>
  <c r="D246" i="1" s="1"/>
  <c r="K216" i="1"/>
  <c r="K246" i="1" s="1"/>
  <c r="H216" i="1"/>
  <c r="H246" i="1" s="1"/>
  <c r="O216" i="1"/>
  <c r="O246" i="1" s="1"/>
  <c r="G216" i="1"/>
  <c r="G246" i="1" s="1"/>
  <c r="N216" i="1"/>
  <c r="N246" i="1" s="1"/>
  <c r="F216" i="1"/>
  <c r="F246" i="1" s="1"/>
  <c r="M216" i="1"/>
  <c r="M246" i="1" s="1"/>
  <c r="E216" i="1"/>
  <c r="E246" i="1" s="1"/>
  <c r="J216" i="1"/>
  <c r="J246" i="1" s="1"/>
  <c r="I216" i="1"/>
  <c r="I246" i="1" s="1"/>
  <c r="F155" i="1"/>
  <c r="F185" i="1" s="1"/>
  <c r="G80" i="1"/>
  <c r="F112" i="1"/>
  <c r="G112" i="1" s="1"/>
  <c r="F157" i="1"/>
  <c r="F103" i="1"/>
  <c r="F36" i="1"/>
  <c r="F37" i="1" s="1"/>
  <c r="B36" i="1"/>
  <c r="B37" i="1" s="1"/>
  <c r="C36" i="1"/>
  <c r="C37" i="1" s="1"/>
  <c r="D36" i="1"/>
  <c r="D37" i="1" s="1"/>
  <c r="E36" i="1"/>
  <c r="E37" i="1" s="1"/>
  <c r="B133" i="1"/>
  <c r="B135" i="1" s="1"/>
  <c r="B142" i="1"/>
  <c r="B144" i="1" s="1"/>
  <c r="B93" i="1"/>
  <c r="B95" i="1" s="1"/>
  <c r="F13" i="1"/>
  <c r="B119" i="1" s="1"/>
  <c r="G21" i="1"/>
  <c r="G19" i="1" s="1"/>
  <c r="F86" i="1"/>
  <c r="G88" i="1"/>
  <c r="G23" i="1"/>
  <c r="C48" i="2" l="1"/>
  <c r="D55" i="2"/>
  <c r="D50" i="2"/>
  <c r="D52" i="2" s="1"/>
  <c r="F55" i="2"/>
  <c r="F50" i="2"/>
  <c r="F52" i="2" s="1"/>
  <c r="E55" i="2"/>
  <c r="E50" i="2"/>
  <c r="E52" i="2" s="1"/>
  <c r="C40" i="2"/>
  <c r="F40" i="2"/>
  <c r="E40" i="2"/>
  <c r="D40" i="2"/>
  <c r="B40" i="2"/>
  <c r="B48" i="2"/>
  <c r="B50" i="2" s="1"/>
  <c r="B58" i="1"/>
  <c r="G50" i="1"/>
  <c r="G46" i="1"/>
  <c r="D58" i="1"/>
  <c r="D63" i="1" s="1"/>
  <c r="D68" i="1" s="1"/>
  <c r="D73" i="1" s="1"/>
  <c r="C58" i="1"/>
  <c r="C63" i="1" s="1"/>
  <c r="C68" i="1" s="1"/>
  <c r="C73" i="1" s="1"/>
  <c r="F58" i="1"/>
  <c r="F63" i="1" s="1"/>
  <c r="F68" i="1" s="1"/>
  <c r="F73" i="1" s="1"/>
  <c r="E58" i="1"/>
  <c r="E63" i="1" s="1"/>
  <c r="E68" i="1" s="1"/>
  <c r="E73" i="1" s="1"/>
  <c r="I312" i="2"/>
  <c r="J308" i="2"/>
  <c r="J316" i="2" s="1"/>
  <c r="H328" i="1"/>
  <c r="H336" i="1" s="1"/>
  <c r="G332" i="1"/>
  <c r="E186" i="2"/>
  <c r="C186" i="2"/>
  <c r="D186" i="2"/>
  <c r="B138" i="2"/>
  <c r="B141" i="2" s="1"/>
  <c r="B143" i="2" s="1"/>
  <c r="G90" i="1"/>
  <c r="G89" i="1" s="1"/>
  <c r="F91" i="1"/>
  <c r="F93" i="1" s="1"/>
  <c r="F95" i="1" s="1"/>
  <c r="B172" i="2"/>
  <c r="B163" i="2"/>
  <c r="B173" i="2"/>
  <c r="B161" i="2"/>
  <c r="B298" i="2" s="1"/>
  <c r="B167" i="2"/>
  <c r="E173" i="2"/>
  <c r="E161" i="2"/>
  <c r="B301" i="2" s="1"/>
  <c r="E172" i="2"/>
  <c r="E167" i="2"/>
  <c r="E163" i="2"/>
  <c r="D163" i="2"/>
  <c r="D173" i="2"/>
  <c r="D172" i="2"/>
  <c r="D161" i="2"/>
  <c r="B300" i="2" s="1"/>
  <c r="D167" i="2"/>
  <c r="C172" i="2"/>
  <c r="C161" i="2"/>
  <c r="B299" i="2" s="1"/>
  <c r="C163" i="2"/>
  <c r="C173" i="2"/>
  <c r="C167" i="2"/>
  <c r="G40" i="2"/>
  <c r="B292" i="2" s="1"/>
  <c r="G103" i="1"/>
  <c r="B296" i="1" s="1"/>
  <c r="F104" i="1"/>
  <c r="D111" i="2"/>
  <c r="D106" i="2"/>
  <c r="F111" i="2"/>
  <c r="F106" i="2"/>
  <c r="C111" i="2"/>
  <c r="C106" i="2"/>
  <c r="E111" i="2"/>
  <c r="E106" i="2"/>
  <c r="G37" i="1"/>
  <c r="F171" i="1"/>
  <c r="G86" i="1"/>
  <c r="F154" i="1"/>
  <c r="F166" i="1"/>
  <c r="D91" i="2"/>
  <c r="D92" i="2" s="1"/>
  <c r="D102" i="2"/>
  <c r="D87" i="2"/>
  <c r="D158" i="2"/>
  <c r="D154" i="2"/>
  <c r="D156" i="2"/>
  <c r="F80" i="2"/>
  <c r="F21" i="2"/>
  <c r="F102" i="2"/>
  <c r="F87" i="2"/>
  <c r="F91" i="2"/>
  <c r="F92" i="2" s="1"/>
  <c r="B87" i="2"/>
  <c r="B91" i="2"/>
  <c r="B92" i="2" s="1"/>
  <c r="B102" i="2"/>
  <c r="B103" i="2" s="1"/>
  <c r="G89" i="2"/>
  <c r="B156" i="2"/>
  <c r="B158" i="2"/>
  <c r="B154" i="2"/>
  <c r="F152" i="2"/>
  <c r="E91" i="2"/>
  <c r="E92" i="2" s="1"/>
  <c r="E102" i="2"/>
  <c r="E87" i="2"/>
  <c r="E80" i="2"/>
  <c r="E21" i="2"/>
  <c r="C91" i="2"/>
  <c r="C92" i="2" s="1"/>
  <c r="C102" i="2"/>
  <c r="C87" i="2"/>
  <c r="E158" i="2"/>
  <c r="E154" i="2"/>
  <c r="E156" i="2"/>
  <c r="B132" i="2"/>
  <c r="B134" i="2" s="1"/>
  <c r="B130" i="2"/>
  <c r="C21" i="2"/>
  <c r="C80" i="2"/>
  <c r="C156" i="2"/>
  <c r="C158" i="2"/>
  <c r="C154" i="2"/>
  <c r="D21" i="2"/>
  <c r="D80" i="2"/>
  <c r="B120" i="2"/>
  <c r="B122" i="2" s="1"/>
  <c r="B118" i="2"/>
  <c r="B21" i="2"/>
  <c r="G20" i="2"/>
  <c r="B80" i="2"/>
  <c r="B111" i="2"/>
  <c r="G88" i="2"/>
  <c r="C234" i="1"/>
  <c r="C235" i="1" s="1"/>
  <c r="O233" i="1"/>
  <c r="G233" i="1"/>
  <c r="L233" i="1"/>
  <c r="D233" i="1"/>
  <c r="H233" i="1"/>
  <c r="K233" i="1"/>
  <c r="E233" i="1"/>
  <c r="M233" i="1"/>
  <c r="I233" i="1"/>
  <c r="F233" i="1"/>
  <c r="J233" i="1"/>
  <c r="N233" i="1"/>
  <c r="P222" i="1"/>
  <c r="P231" i="1"/>
  <c r="P228" i="1"/>
  <c r="P225" i="1"/>
  <c r="P219" i="1"/>
  <c r="P216" i="1"/>
  <c r="P246" i="1" s="1"/>
  <c r="F156" i="1"/>
  <c r="B206" i="1"/>
  <c r="C206" i="1" s="1"/>
  <c r="G79" i="1"/>
  <c r="B194" i="1"/>
  <c r="G111" i="1"/>
  <c r="B198" i="1"/>
  <c r="C198" i="1" s="1"/>
  <c r="G36" i="1"/>
  <c r="B295" i="1" s="1"/>
  <c r="C92" i="1"/>
  <c r="C93" i="1"/>
  <c r="C95" i="1" s="1"/>
  <c r="D92" i="1"/>
  <c r="D93" i="1"/>
  <c r="D95" i="1" s="1"/>
  <c r="E92" i="1"/>
  <c r="E93" i="1"/>
  <c r="E95" i="1" s="1"/>
  <c r="E25" i="1"/>
  <c r="E26" i="1"/>
  <c r="E28" i="1" s="1"/>
  <c r="D25" i="1"/>
  <c r="D26" i="1"/>
  <c r="D28" i="1" s="1"/>
  <c r="C25" i="1"/>
  <c r="C26" i="1"/>
  <c r="C28" i="1" s="1"/>
  <c r="F25" i="1"/>
  <c r="F26" i="1"/>
  <c r="F28" i="1" s="1"/>
  <c r="B25" i="1"/>
  <c r="B26" i="1"/>
  <c r="B28" i="1" s="1"/>
  <c r="B131" i="1"/>
  <c r="B140" i="1"/>
  <c r="B92" i="1"/>
  <c r="B97" i="1" s="1"/>
  <c r="G13" i="1"/>
  <c r="G24" i="1"/>
  <c r="G22" i="1"/>
  <c r="G47" i="1" s="1"/>
  <c r="B52" i="2" l="1"/>
  <c r="C55" i="2"/>
  <c r="C50" i="2"/>
  <c r="C52" i="2" s="1"/>
  <c r="D57" i="2"/>
  <c r="D62" i="2" s="1"/>
  <c r="D58" i="2"/>
  <c r="D60" i="2"/>
  <c r="D59" i="2"/>
  <c r="F58" i="2"/>
  <c r="F60" i="2"/>
  <c r="F59" i="2"/>
  <c r="F57" i="2"/>
  <c r="F62" i="2" s="1"/>
  <c r="E60" i="2"/>
  <c r="E57" i="2"/>
  <c r="E62" i="2" s="1"/>
  <c r="E58" i="2"/>
  <c r="B55" i="2"/>
  <c r="B57" i="2"/>
  <c r="B62" i="2" s="1"/>
  <c r="G48" i="2"/>
  <c r="C57" i="2"/>
  <c r="C62" i="2" s="1"/>
  <c r="C60" i="2"/>
  <c r="F59" i="1"/>
  <c r="F64" i="1" s="1"/>
  <c r="D59" i="1"/>
  <c r="D64" i="1" s="1"/>
  <c r="C59" i="1"/>
  <c r="C64" i="1" s="1"/>
  <c r="B63" i="1"/>
  <c r="B68" i="1" s="1"/>
  <c r="B73" i="1" s="1"/>
  <c r="G58" i="1"/>
  <c r="E59" i="1"/>
  <c r="E64" i="1" s="1"/>
  <c r="G52" i="1"/>
  <c r="B59" i="1"/>
  <c r="J312" i="2"/>
  <c r="K308" i="2"/>
  <c r="K316" i="2" s="1"/>
  <c r="I328" i="1"/>
  <c r="I336" i="1" s="1"/>
  <c r="H332" i="1"/>
  <c r="F186" i="2"/>
  <c r="F185" i="2" s="1"/>
  <c r="B139" i="2"/>
  <c r="F161" i="2"/>
  <c r="F160" i="2" s="1"/>
  <c r="G102" i="1"/>
  <c r="F103" i="2"/>
  <c r="G104" i="1"/>
  <c r="C103" i="2"/>
  <c r="D103" i="2"/>
  <c r="G39" i="2"/>
  <c r="F167" i="2"/>
  <c r="F166" i="2" s="1"/>
  <c r="F168" i="2" s="1"/>
  <c r="G111" i="2"/>
  <c r="B197" i="2" s="1"/>
  <c r="C197" i="2" s="1"/>
  <c r="H197" i="2" s="1"/>
  <c r="E103" i="2"/>
  <c r="F173" i="2"/>
  <c r="F163" i="2"/>
  <c r="F162" i="2" s="1"/>
  <c r="F172" i="2"/>
  <c r="G106" i="2"/>
  <c r="G105" i="2" s="1"/>
  <c r="G91" i="1"/>
  <c r="B147" i="1" s="1"/>
  <c r="B298" i="1"/>
  <c r="F92" i="1"/>
  <c r="G92" i="1" s="1"/>
  <c r="B272" i="1" s="1"/>
  <c r="B30" i="1"/>
  <c r="E30" i="1"/>
  <c r="G102" i="2"/>
  <c r="F156" i="2"/>
  <c r="B205" i="2" s="1"/>
  <c r="C205" i="2" s="1"/>
  <c r="K205" i="2" s="1"/>
  <c r="G87" i="2"/>
  <c r="D23" i="2"/>
  <c r="D24" i="2" s="1"/>
  <c r="D36" i="2"/>
  <c r="D37" i="2" s="1"/>
  <c r="G80" i="2"/>
  <c r="G91" i="2"/>
  <c r="G90" i="2" s="1"/>
  <c r="E93" i="2"/>
  <c r="E94" i="2"/>
  <c r="E96" i="2" s="1"/>
  <c r="E23" i="2"/>
  <c r="E24" i="2" s="1"/>
  <c r="E36" i="2"/>
  <c r="E37" i="2" s="1"/>
  <c r="B23" i="2"/>
  <c r="B24" i="2" s="1"/>
  <c r="B36" i="2"/>
  <c r="B37" i="2" s="1"/>
  <c r="G21" i="2"/>
  <c r="F94" i="2"/>
  <c r="F96" i="2" s="1"/>
  <c r="F93" i="2"/>
  <c r="F36" i="2"/>
  <c r="F37" i="2" s="1"/>
  <c r="F23" i="2"/>
  <c r="F24" i="2" s="1"/>
  <c r="F154" i="2"/>
  <c r="C23" i="2"/>
  <c r="C24" i="2" s="1"/>
  <c r="C36" i="2"/>
  <c r="C37" i="2" s="1"/>
  <c r="C93" i="2"/>
  <c r="C94" i="2"/>
  <c r="C96" i="2" s="1"/>
  <c r="F158" i="2"/>
  <c r="F157" i="2" s="1"/>
  <c r="D93" i="2"/>
  <c r="D94" i="2"/>
  <c r="D96" i="2" s="1"/>
  <c r="C97" i="1"/>
  <c r="F30" i="1"/>
  <c r="G26" i="1"/>
  <c r="B276" i="1"/>
  <c r="E97" i="1"/>
  <c r="D97" i="1"/>
  <c r="D30" i="1"/>
  <c r="C30" i="1"/>
  <c r="G95" i="1"/>
  <c r="G28" i="1"/>
  <c r="K234" i="1"/>
  <c r="K235" i="1" s="1"/>
  <c r="H234" i="1"/>
  <c r="H235" i="1" s="1"/>
  <c r="J234" i="1"/>
  <c r="J235" i="1" s="1"/>
  <c r="L234" i="1"/>
  <c r="L235" i="1" s="1"/>
  <c r="F234" i="1"/>
  <c r="F235" i="1" s="1"/>
  <c r="G234" i="1"/>
  <c r="G235" i="1" s="1"/>
  <c r="I234" i="1"/>
  <c r="I235" i="1" s="1"/>
  <c r="O234" i="1"/>
  <c r="O235" i="1" s="1"/>
  <c r="N234" i="1"/>
  <c r="N235" i="1" s="1"/>
  <c r="M234" i="1"/>
  <c r="M235" i="1" s="1"/>
  <c r="D234" i="1"/>
  <c r="D235" i="1" s="1"/>
  <c r="E234" i="1"/>
  <c r="E235" i="1" s="1"/>
  <c r="P233" i="1"/>
  <c r="N198" i="1"/>
  <c r="F198" i="1"/>
  <c r="L198" i="1"/>
  <c r="D198" i="1"/>
  <c r="K198" i="1"/>
  <c r="E198" i="1"/>
  <c r="J198" i="1"/>
  <c r="I198" i="1"/>
  <c r="H198" i="1"/>
  <c r="O198" i="1"/>
  <c r="G198" i="1"/>
  <c r="M198" i="1"/>
  <c r="C194" i="1"/>
  <c r="N206" i="1"/>
  <c r="F206" i="1"/>
  <c r="L206" i="1"/>
  <c r="D206" i="1"/>
  <c r="M206" i="1"/>
  <c r="K206" i="1"/>
  <c r="J206" i="1"/>
  <c r="E206" i="1"/>
  <c r="I206" i="1"/>
  <c r="H206" i="1"/>
  <c r="O206" i="1"/>
  <c r="G206" i="1"/>
  <c r="G35" i="1"/>
  <c r="B202" i="1"/>
  <c r="C202" i="1" s="1"/>
  <c r="G25" i="1"/>
  <c r="C65" i="2" l="1"/>
  <c r="C70" i="2" s="1"/>
  <c r="C75" i="2" s="1"/>
  <c r="E63" i="2"/>
  <c r="E68" i="2" s="1"/>
  <c r="E73" i="2" s="1"/>
  <c r="F64" i="2"/>
  <c r="F69" i="2" s="1"/>
  <c r="F74" i="2" s="1"/>
  <c r="D65" i="2"/>
  <c r="D70" i="2" s="1"/>
  <c r="D75" i="2" s="1"/>
  <c r="D64" i="2"/>
  <c r="D69" i="2" s="1"/>
  <c r="D74" i="2" s="1"/>
  <c r="F65" i="2"/>
  <c r="F70" i="2" s="1"/>
  <c r="F75" i="2" s="1"/>
  <c r="D63" i="2"/>
  <c r="D68" i="2" s="1"/>
  <c r="D73" i="2" s="1"/>
  <c r="G50" i="2"/>
  <c r="C58" i="2"/>
  <c r="E65" i="2"/>
  <c r="E70" i="2" s="1"/>
  <c r="E75" i="2" s="1"/>
  <c r="F63" i="2"/>
  <c r="F77" i="2" s="1"/>
  <c r="F67" i="2"/>
  <c r="F72" i="2" s="1"/>
  <c r="B58" i="2"/>
  <c r="B63" i="2" s="1"/>
  <c r="G57" i="2"/>
  <c r="C59" i="2"/>
  <c r="G55" i="2"/>
  <c r="B60" i="2"/>
  <c r="B65" i="2" s="1"/>
  <c r="E67" i="2"/>
  <c r="E72" i="2" s="1"/>
  <c r="C67" i="2"/>
  <c r="C72" i="2" s="1"/>
  <c r="E59" i="2"/>
  <c r="D67" i="2"/>
  <c r="D72" i="2" s="1"/>
  <c r="D77" i="2"/>
  <c r="E77" i="1"/>
  <c r="E69" i="1"/>
  <c r="E74" i="1" s="1"/>
  <c r="C77" i="1"/>
  <c r="C69" i="1"/>
  <c r="C74" i="1" s="1"/>
  <c r="D77" i="1"/>
  <c r="D69" i="1"/>
  <c r="D74" i="1" s="1"/>
  <c r="F77" i="1"/>
  <c r="F69" i="1"/>
  <c r="F74" i="1" s="1"/>
  <c r="B64" i="1"/>
  <c r="B77" i="1" s="1"/>
  <c r="G59" i="1"/>
  <c r="G63" i="1"/>
  <c r="L308" i="2"/>
  <c r="K312" i="2"/>
  <c r="J328" i="1"/>
  <c r="J336" i="1" s="1"/>
  <c r="I332" i="1"/>
  <c r="F184" i="2"/>
  <c r="B293" i="2"/>
  <c r="F165" i="2"/>
  <c r="B267" i="1"/>
  <c r="B269" i="1" s="1"/>
  <c r="B271" i="1" s="1"/>
  <c r="G93" i="1"/>
  <c r="G110" i="2"/>
  <c r="G103" i="2"/>
  <c r="F171" i="2"/>
  <c r="B276" i="2"/>
  <c r="F170" i="2"/>
  <c r="G37" i="2"/>
  <c r="F97" i="1"/>
  <c r="G101" i="2"/>
  <c r="G205" i="2"/>
  <c r="L205" i="2"/>
  <c r="I205" i="2"/>
  <c r="F205" i="2"/>
  <c r="D205" i="2"/>
  <c r="E205" i="2"/>
  <c r="J205" i="2"/>
  <c r="H205" i="2"/>
  <c r="M205" i="2"/>
  <c r="D98" i="2"/>
  <c r="O205" i="2"/>
  <c r="E98" i="2"/>
  <c r="N205" i="2"/>
  <c r="K197" i="2"/>
  <c r="E26" i="2"/>
  <c r="E28" i="2" s="1"/>
  <c r="E25" i="2"/>
  <c r="D197" i="2"/>
  <c r="L197" i="2"/>
  <c r="E197" i="2"/>
  <c r="C98" i="2"/>
  <c r="F98" i="2"/>
  <c r="D25" i="2"/>
  <c r="D26" i="2"/>
  <c r="D28" i="2" s="1"/>
  <c r="I197" i="2"/>
  <c r="M197" i="2"/>
  <c r="G19" i="2"/>
  <c r="B94" i="2"/>
  <c r="B96" i="2" s="1"/>
  <c r="B93" i="2"/>
  <c r="G93" i="2" s="1"/>
  <c r="B252" i="2" s="1"/>
  <c r="G92" i="2"/>
  <c r="F25" i="2"/>
  <c r="F26" i="2"/>
  <c r="F28" i="2" s="1"/>
  <c r="J197" i="2"/>
  <c r="F197" i="2"/>
  <c r="G36" i="2"/>
  <c r="B193" i="2"/>
  <c r="G79" i="2"/>
  <c r="O197" i="2"/>
  <c r="N197" i="2"/>
  <c r="C26" i="2"/>
  <c r="C28" i="2" s="1"/>
  <c r="C25" i="2"/>
  <c r="G23" i="2"/>
  <c r="G22" i="2" s="1"/>
  <c r="G197" i="2"/>
  <c r="F153" i="2"/>
  <c r="F155" i="2"/>
  <c r="G97" i="1"/>
  <c r="G30" i="1"/>
  <c r="P234" i="1"/>
  <c r="P235" i="1"/>
  <c r="B208" i="1"/>
  <c r="B148" i="1"/>
  <c r="B213" i="1" s="1"/>
  <c r="J202" i="1"/>
  <c r="I202" i="1"/>
  <c r="H202" i="1"/>
  <c r="O202" i="1"/>
  <c r="G202" i="1"/>
  <c r="N202" i="1"/>
  <c r="F202" i="1"/>
  <c r="M202" i="1"/>
  <c r="E202" i="1"/>
  <c r="L202" i="1"/>
  <c r="D202" i="1"/>
  <c r="K202" i="1"/>
  <c r="J194" i="1"/>
  <c r="H194" i="1"/>
  <c r="O194" i="1"/>
  <c r="G194" i="1"/>
  <c r="N194" i="1"/>
  <c r="F194" i="1"/>
  <c r="C208" i="1"/>
  <c r="C237" i="1" s="1"/>
  <c r="M194" i="1"/>
  <c r="E194" i="1"/>
  <c r="I194" i="1"/>
  <c r="L194" i="1"/>
  <c r="D194" i="1"/>
  <c r="K194" i="1"/>
  <c r="P206" i="1"/>
  <c r="P198" i="1"/>
  <c r="C63" i="2" l="1"/>
  <c r="C68" i="2" s="1"/>
  <c r="C73" i="2" s="1"/>
  <c r="F68" i="2"/>
  <c r="F73" i="2" s="1"/>
  <c r="G47" i="2"/>
  <c r="G46" i="2"/>
  <c r="E64" i="2"/>
  <c r="E77" i="2" s="1"/>
  <c r="C69" i="2"/>
  <c r="C74" i="2" s="1"/>
  <c r="C64" i="2"/>
  <c r="C77" i="2"/>
  <c r="G62" i="2"/>
  <c r="B67" i="2"/>
  <c r="B72" i="2" s="1"/>
  <c r="G58" i="2"/>
  <c r="G60" i="2"/>
  <c r="G52" i="2"/>
  <c r="B59" i="2"/>
  <c r="B64" i="2" s="1"/>
  <c r="G77" i="1"/>
  <c r="B315" i="1"/>
  <c r="C315" i="1" s="1"/>
  <c r="D315" i="1" s="1"/>
  <c r="G68" i="1"/>
  <c r="G73" i="1" s="1"/>
  <c r="G64" i="1"/>
  <c r="B69" i="1"/>
  <c r="B74" i="1" s="1"/>
  <c r="L309" i="2"/>
  <c r="L316" i="2"/>
  <c r="B310" i="1"/>
  <c r="C310" i="1" s="1"/>
  <c r="D310" i="1" s="1"/>
  <c r="B286" i="1"/>
  <c r="M308" i="2"/>
  <c r="L312" i="2"/>
  <c r="K328" i="1"/>
  <c r="K336" i="1" s="1"/>
  <c r="J332" i="1"/>
  <c r="F30" i="2"/>
  <c r="P205" i="2"/>
  <c r="P197" i="2"/>
  <c r="B98" i="2"/>
  <c r="G96" i="2"/>
  <c r="G98" i="2" s="1"/>
  <c r="B201" i="2"/>
  <c r="C201" i="2" s="1"/>
  <c r="G35" i="2"/>
  <c r="C30" i="2"/>
  <c r="G24" i="2"/>
  <c r="B26" i="2"/>
  <c r="B28" i="2" s="1"/>
  <c r="B25" i="2"/>
  <c r="G25" i="2" s="1"/>
  <c r="B275" i="2"/>
  <c r="B278" i="2" s="1"/>
  <c r="E30" i="2"/>
  <c r="C193" i="2"/>
  <c r="B247" i="2"/>
  <c r="B249" i="2" s="1"/>
  <c r="B251" i="2" s="1"/>
  <c r="G94" i="2"/>
  <c r="D30" i="2"/>
  <c r="B237" i="1"/>
  <c r="B294" i="1"/>
  <c r="I208" i="1"/>
  <c r="I237" i="1" s="1"/>
  <c r="H208" i="1"/>
  <c r="H237" i="1" s="1"/>
  <c r="C213" i="1"/>
  <c r="C243" i="1" s="1"/>
  <c r="C248" i="1" s="1"/>
  <c r="C250" i="1" s="1"/>
  <c r="B243" i="1"/>
  <c r="J208" i="1"/>
  <c r="J237" i="1" s="1"/>
  <c r="E208" i="1"/>
  <c r="E237" i="1" s="1"/>
  <c r="M208" i="1"/>
  <c r="M237" i="1" s="1"/>
  <c r="P202" i="1"/>
  <c r="K208" i="1"/>
  <c r="K237" i="1" s="1"/>
  <c r="F208" i="1"/>
  <c r="F237" i="1" s="1"/>
  <c r="D208" i="1"/>
  <c r="D237" i="1" s="1"/>
  <c r="G208" i="1"/>
  <c r="G237" i="1" s="1"/>
  <c r="L208" i="1"/>
  <c r="L237" i="1" s="1"/>
  <c r="O208" i="1"/>
  <c r="O237" i="1" s="1"/>
  <c r="P194" i="1"/>
  <c r="N208" i="1"/>
  <c r="N237" i="1" s="1"/>
  <c r="G67" i="2" l="1"/>
  <c r="G72" i="2" s="1"/>
  <c r="B294" i="2"/>
  <c r="C294" i="2" s="1"/>
  <c r="D294" i="2" s="1"/>
  <c r="E69" i="2"/>
  <c r="E74" i="2" s="1"/>
  <c r="G63" i="2"/>
  <c r="B68" i="2"/>
  <c r="B73" i="2" s="1"/>
  <c r="B70" i="2"/>
  <c r="B75" i="2" s="1"/>
  <c r="G65" i="2"/>
  <c r="G59" i="2"/>
  <c r="B316" i="1"/>
  <c r="C316" i="1" s="1"/>
  <c r="D316" i="1" s="1"/>
  <c r="G69" i="1"/>
  <c r="G74" i="1" s="1"/>
  <c r="M309" i="2"/>
  <c r="M316" i="2"/>
  <c r="M312" i="2"/>
  <c r="N308" i="2"/>
  <c r="B290" i="2"/>
  <c r="C290" i="2" s="1"/>
  <c r="D290" i="2" s="1"/>
  <c r="B266" i="2"/>
  <c r="L328" i="1"/>
  <c r="L336" i="1" s="1"/>
  <c r="K332" i="1"/>
  <c r="B207" i="2"/>
  <c r="B274" i="2" s="1"/>
  <c r="G28" i="2"/>
  <c r="G30" i="2" s="1"/>
  <c r="B30" i="2"/>
  <c r="B146" i="2"/>
  <c r="B256" i="2"/>
  <c r="G26" i="2"/>
  <c r="L193" i="2"/>
  <c r="J193" i="2"/>
  <c r="G193" i="2"/>
  <c r="M193" i="2"/>
  <c r="F193" i="2"/>
  <c r="D193" i="2"/>
  <c r="O193" i="2"/>
  <c r="I193" i="2"/>
  <c r="H193" i="2"/>
  <c r="K193" i="2"/>
  <c r="N193" i="2"/>
  <c r="E193" i="2"/>
  <c r="C207" i="2"/>
  <c r="C217" i="2" s="1"/>
  <c r="F201" i="2"/>
  <c r="M201" i="2"/>
  <c r="E201" i="2"/>
  <c r="H201" i="2"/>
  <c r="N201" i="2"/>
  <c r="I201" i="2"/>
  <c r="L201" i="2"/>
  <c r="O201" i="2"/>
  <c r="D201" i="2"/>
  <c r="G201" i="2"/>
  <c r="K201" i="2"/>
  <c r="J201" i="2"/>
  <c r="B147" i="2"/>
  <c r="B248" i="1"/>
  <c r="B250" i="1" s="1"/>
  <c r="B262" i="1"/>
  <c r="B274" i="1" s="1"/>
  <c r="B277" i="1" s="1"/>
  <c r="P237" i="1"/>
  <c r="D213" i="1"/>
  <c r="D243" i="1" s="1"/>
  <c r="D248" i="1" s="1"/>
  <c r="D250" i="1" s="1"/>
  <c r="J213" i="1"/>
  <c r="J243" i="1" s="1"/>
  <c r="J248" i="1" s="1"/>
  <c r="J250" i="1" s="1"/>
  <c r="I213" i="1"/>
  <c r="I243" i="1" s="1"/>
  <c r="I248" i="1" s="1"/>
  <c r="I250" i="1" s="1"/>
  <c r="G213" i="1"/>
  <c r="G243" i="1" s="1"/>
  <c r="G248" i="1" s="1"/>
  <c r="G250" i="1" s="1"/>
  <c r="K213" i="1"/>
  <c r="K243" i="1" s="1"/>
  <c r="K248" i="1" s="1"/>
  <c r="K250" i="1" s="1"/>
  <c r="O213" i="1"/>
  <c r="O243" i="1" s="1"/>
  <c r="O248" i="1" s="1"/>
  <c r="O250" i="1" s="1"/>
  <c r="H213" i="1"/>
  <c r="H243" i="1" s="1"/>
  <c r="H248" i="1" s="1"/>
  <c r="H250" i="1" s="1"/>
  <c r="L213" i="1"/>
  <c r="L243" i="1" s="1"/>
  <c r="L248" i="1" s="1"/>
  <c r="L250" i="1" s="1"/>
  <c r="E213" i="1"/>
  <c r="E243" i="1" s="1"/>
  <c r="E248" i="1" s="1"/>
  <c r="E250" i="1" s="1"/>
  <c r="M213" i="1"/>
  <c r="M243" i="1" s="1"/>
  <c r="M248" i="1" s="1"/>
  <c r="M250" i="1" s="1"/>
  <c r="N213" i="1"/>
  <c r="N243" i="1" s="1"/>
  <c r="N248" i="1" s="1"/>
  <c r="N250" i="1" s="1"/>
  <c r="F213" i="1"/>
  <c r="F243" i="1" s="1"/>
  <c r="F248" i="1" s="1"/>
  <c r="F250" i="1" s="1"/>
  <c r="P208" i="1"/>
  <c r="G70" i="2" l="1"/>
  <c r="G75" i="2" s="1"/>
  <c r="B297" i="2"/>
  <c r="C297" i="2" s="1"/>
  <c r="D297" i="2" s="1"/>
  <c r="G68" i="2"/>
  <c r="G73" i="2" s="1"/>
  <c r="B295" i="2"/>
  <c r="C295" i="2" s="1"/>
  <c r="D295" i="2" s="1"/>
  <c r="G64" i="2"/>
  <c r="B69" i="2"/>
  <c r="B74" i="2" s="1"/>
  <c r="B77" i="2"/>
  <c r="G77" i="2" s="1"/>
  <c r="N309" i="2"/>
  <c r="N316" i="2"/>
  <c r="N312" i="2"/>
  <c r="O308" i="2"/>
  <c r="M328" i="1"/>
  <c r="M336" i="1" s="1"/>
  <c r="L332" i="1"/>
  <c r="L329" i="1"/>
  <c r="B217" i="2"/>
  <c r="M207" i="2"/>
  <c r="M217" i="2" s="1"/>
  <c r="L207" i="2"/>
  <c r="L217" i="2" s="1"/>
  <c r="H207" i="2"/>
  <c r="H217" i="2" s="1"/>
  <c r="O207" i="2"/>
  <c r="O217" i="2" s="1"/>
  <c r="B212" i="2"/>
  <c r="P193" i="2"/>
  <c r="D207" i="2"/>
  <c r="D217" i="2" s="1"/>
  <c r="F207" i="2"/>
  <c r="F217" i="2" s="1"/>
  <c r="E207" i="2"/>
  <c r="E217" i="2" s="1"/>
  <c r="N207" i="2"/>
  <c r="N217" i="2" s="1"/>
  <c r="G207" i="2"/>
  <c r="G217" i="2" s="1"/>
  <c r="P201" i="2"/>
  <c r="K207" i="2"/>
  <c r="K217" i="2" s="1"/>
  <c r="J207" i="2"/>
  <c r="J217" i="2" s="1"/>
  <c r="B281" i="1"/>
  <c r="B278" i="1"/>
  <c r="B280" i="1" s="1"/>
  <c r="I207" i="2"/>
  <c r="I217" i="2" s="1"/>
  <c r="P213" i="1"/>
  <c r="P243" i="1" s="1"/>
  <c r="P248" i="1" s="1"/>
  <c r="P250" i="1" s="1"/>
  <c r="C212" i="2" l="1"/>
  <c r="I212" i="2" s="1"/>
  <c r="I223" i="2" s="1"/>
  <c r="I228" i="2" s="1"/>
  <c r="B223" i="2"/>
  <c r="G69" i="2"/>
  <c r="G74" i="2" s="1"/>
  <c r="B296" i="2"/>
  <c r="C296" i="2" s="1"/>
  <c r="D296" i="2" s="1"/>
  <c r="O309" i="2"/>
  <c r="O316" i="2"/>
  <c r="B287" i="1"/>
  <c r="O312" i="2"/>
  <c r="P308" i="2"/>
  <c r="N328" i="1"/>
  <c r="N336" i="1" s="1"/>
  <c r="M332" i="1"/>
  <c r="M329" i="1"/>
  <c r="B283" i="1"/>
  <c r="B289" i="1" s="1"/>
  <c r="B311" i="1"/>
  <c r="C311" i="1" s="1"/>
  <c r="F212" i="2"/>
  <c r="F223" i="2" s="1"/>
  <c r="F228" i="2" s="1"/>
  <c r="F230" i="2" s="1"/>
  <c r="G212" i="2"/>
  <c r="G223" i="2" s="1"/>
  <c r="G228" i="2" s="1"/>
  <c r="G230" i="2" s="1"/>
  <c r="J212" i="2"/>
  <c r="J223" i="2" s="1"/>
  <c r="J228" i="2" s="1"/>
  <c r="J230" i="2" s="1"/>
  <c r="K212" i="2"/>
  <c r="K223" i="2" s="1"/>
  <c r="K228" i="2" s="1"/>
  <c r="K230" i="2" s="1"/>
  <c r="D212" i="2"/>
  <c r="D223" i="2" s="1"/>
  <c r="D228" i="2" s="1"/>
  <c r="D230" i="2" s="1"/>
  <c r="M212" i="2"/>
  <c r="M223" i="2" s="1"/>
  <c r="M228" i="2" s="1"/>
  <c r="M230" i="2" s="1"/>
  <c r="H212" i="2"/>
  <c r="H223" i="2" s="1"/>
  <c r="H228" i="2" s="1"/>
  <c r="H230" i="2" s="1"/>
  <c r="L212" i="2"/>
  <c r="L223" i="2" s="1"/>
  <c r="L228" i="2" s="1"/>
  <c r="L230" i="2" s="1"/>
  <c r="E212" i="2"/>
  <c r="E223" i="2" s="1"/>
  <c r="E228" i="2" s="1"/>
  <c r="E230" i="2" s="1"/>
  <c r="O212" i="2"/>
  <c r="O223" i="2" s="1"/>
  <c r="O228" i="2" s="1"/>
  <c r="O230" i="2" s="1"/>
  <c r="C223" i="2"/>
  <c r="C228" i="2" s="1"/>
  <c r="C230" i="2" s="1"/>
  <c r="N212" i="2"/>
  <c r="N223" i="2" s="1"/>
  <c r="N228" i="2" s="1"/>
  <c r="N230" i="2" s="1"/>
  <c r="I230" i="2"/>
  <c r="P217" i="2"/>
  <c r="P207" i="2"/>
  <c r="B228" i="2" l="1"/>
  <c r="B230" i="2" s="1"/>
  <c r="B242" i="2"/>
  <c r="B254" i="2" s="1"/>
  <c r="B257" i="2" s="1"/>
  <c r="P309" i="2"/>
  <c r="P316" i="2"/>
  <c r="P312" i="2"/>
  <c r="Q308" i="2"/>
  <c r="O328" i="1"/>
  <c r="O336" i="1" s="1"/>
  <c r="N332" i="1"/>
  <c r="N329" i="1"/>
  <c r="D309" i="1"/>
  <c r="D179" i="1"/>
  <c r="D180" i="1" s="1"/>
  <c r="C179" i="1"/>
  <c r="C180" i="1" s="1"/>
  <c r="B179" i="1"/>
  <c r="B180" i="1" s="1"/>
  <c r="E179" i="1"/>
  <c r="E180" i="1" s="1"/>
  <c r="D311" i="1"/>
  <c r="B323" i="1"/>
  <c r="B105" i="1"/>
  <c r="C105" i="1"/>
  <c r="C108" i="1" s="1"/>
  <c r="C109" i="1" s="1"/>
  <c r="D105" i="1"/>
  <c r="D108" i="1" s="1"/>
  <c r="D109" i="1" s="1"/>
  <c r="E105" i="1"/>
  <c r="E108" i="1" s="1"/>
  <c r="E109" i="1" s="1"/>
  <c r="F105" i="1"/>
  <c r="F108" i="1" s="1"/>
  <c r="F109" i="1" s="1"/>
  <c r="E38" i="1"/>
  <c r="E41" i="1" s="1"/>
  <c r="E42" i="1" s="1"/>
  <c r="C38" i="1"/>
  <c r="C41" i="1" s="1"/>
  <c r="C42" i="1" s="1"/>
  <c r="B38" i="1"/>
  <c r="F38" i="1"/>
  <c r="F41" i="1" s="1"/>
  <c r="F42" i="1" s="1"/>
  <c r="D38" i="1"/>
  <c r="D41" i="1" s="1"/>
  <c r="D42" i="1" s="1"/>
  <c r="B301" i="1"/>
  <c r="B303" i="1" s="1"/>
  <c r="C175" i="1"/>
  <c r="C177" i="1" s="1"/>
  <c r="B175" i="1"/>
  <c r="E175" i="1"/>
  <c r="E177" i="1" s="1"/>
  <c r="D175" i="1"/>
  <c r="D177" i="1" s="1"/>
  <c r="P212" i="2"/>
  <c r="P223" i="2" s="1"/>
  <c r="P228" i="2" s="1"/>
  <c r="P230" i="2" s="1"/>
  <c r="B261" i="2" l="1"/>
  <c r="B258" i="2"/>
  <c r="B260" i="2" s="1"/>
  <c r="Q309" i="2"/>
  <c r="Q316" i="2"/>
  <c r="Q312" i="2"/>
  <c r="R308" i="2"/>
  <c r="P328" i="1"/>
  <c r="P336" i="1" s="1"/>
  <c r="O332" i="1"/>
  <c r="O329" i="1"/>
  <c r="B329" i="1"/>
  <c r="H329" i="1"/>
  <c r="K329" i="1"/>
  <c r="D329" i="1"/>
  <c r="G329" i="1"/>
  <c r="C329" i="1"/>
  <c r="I329" i="1"/>
  <c r="F329" i="1"/>
  <c r="J329" i="1"/>
  <c r="E329" i="1"/>
  <c r="F180" i="1"/>
  <c r="F179" i="1" s="1"/>
  <c r="D178" i="1"/>
  <c r="D182" i="1" s="1"/>
  <c r="D183" i="1" s="1"/>
  <c r="C320" i="1"/>
  <c r="C178" i="1"/>
  <c r="C182" i="1" s="1"/>
  <c r="C183" i="1" s="1"/>
  <c r="C319" i="1"/>
  <c r="D319" i="1" s="1"/>
  <c r="E178" i="1"/>
  <c r="E182" i="1" s="1"/>
  <c r="E183" i="1" s="1"/>
  <c r="C321" i="1"/>
  <c r="D321" i="1" s="1"/>
  <c r="B108" i="1"/>
  <c r="B109" i="1" s="1"/>
  <c r="G105" i="1"/>
  <c r="B41" i="1"/>
  <c r="B42" i="1" s="1"/>
  <c r="G38" i="1"/>
  <c r="F175" i="1"/>
  <c r="B177" i="1"/>
  <c r="C318" i="1" s="1"/>
  <c r="D318" i="1" s="1"/>
  <c r="B267" i="2" l="1"/>
  <c r="B263" i="2"/>
  <c r="B269" i="2" s="1"/>
  <c r="B291" i="2"/>
  <c r="R309" i="2"/>
  <c r="R316" i="2"/>
  <c r="R312" i="2"/>
  <c r="S308" i="2"/>
  <c r="Q328" i="1"/>
  <c r="Q336" i="1" s="1"/>
  <c r="P332" i="1"/>
  <c r="P329" i="1"/>
  <c r="B330" i="1"/>
  <c r="G41" i="1"/>
  <c r="G42" i="1" s="1"/>
  <c r="C312" i="1"/>
  <c r="D312" i="1" s="1"/>
  <c r="D320" i="1"/>
  <c r="G108" i="1"/>
  <c r="G109" i="1" s="1"/>
  <c r="C313" i="1"/>
  <c r="D313" i="1" s="1"/>
  <c r="F177" i="1"/>
  <c r="F178" i="1" s="1"/>
  <c r="B178" i="1"/>
  <c r="B182" i="1" s="1"/>
  <c r="B183" i="1" s="1"/>
  <c r="F183" i="1" s="1"/>
  <c r="F182" i="1" s="1"/>
  <c r="C291" i="2" l="1"/>
  <c r="D291" i="2" s="1"/>
  <c r="B303" i="2"/>
  <c r="C178" i="2"/>
  <c r="C179" i="2" s="1"/>
  <c r="C174" i="2"/>
  <c r="C176" i="2" s="1"/>
  <c r="C104" i="2"/>
  <c r="C107" i="2" s="1"/>
  <c r="C108" i="2" s="1"/>
  <c r="F38" i="2"/>
  <c r="F41" i="2" s="1"/>
  <c r="F42" i="2" s="1"/>
  <c r="E38" i="2"/>
  <c r="E41" i="2" s="1"/>
  <c r="E42" i="2" s="1"/>
  <c r="B38" i="2"/>
  <c r="D174" i="2"/>
  <c r="D176" i="2" s="1"/>
  <c r="B178" i="2"/>
  <c r="B179" i="2" s="1"/>
  <c r="D104" i="2"/>
  <c r="D107" i="2" s="1"/>
  <c r="D108" i="2" s="1"/>
  <c r="F104" i="2"/>
  <c r="F107" i="2" s="1"/>
  <c r="F108" i="2" s="1"/>
  <c r="C38" i="2"/>
  <c r="C41" i="2" s="1"/>
  <c r="C42" i="2" s="1"/>
  <c r="D178" i="2"/>
  <c r="D179" i="2" s="1"/>
  <c r="B174" i="2"/>
  <c r="E104" i="2"/>
  <c r="E107" i="2" s="1"/>
  <c r="E108" i="2" s="1"/>
  <c r="D38" i="2"/>
  <c r="D41" i="2" s="1"/>
  <c r="D42" i="2" s="1"/>
  <c r="E178" i="2"/>
  <c r="E179" i="2" s="1"/>
  <c r="E174" i="2"/>
  <c r="E176" i="2" s="1"/>
  <c r="B104" i="2"/>
  <c r="B281" i="2"/>
  <c r="B283" i="2" s="1"/>
  <c r="S309" i="2"/>
  <c r="S316" i="2"/>
  <c r="T308" i="2"/>
  <c r="S312" i="2"/>
  <c r="R328" i="1"/>
  <c r="R336" i="1" s="1"/>
  <c r="Q332" i="1"/>
  <c r="Q329" i="1"/>
  <c r="B333" i="1"/>
  <c r="C330" i="1"/>
  <c r="C323" i="1"/>
  <c r="D323" i="1" s="1"/>
  <c r="E177" i="2" l="1"/>
  <c r="E181" i="2" s="1"/>
  <c r="E182" i="2" s="1"/>
  <c r="C301" i="2"/>
  <c r="D301" i="2" s="1"/>
  <c r="B176" i="2"/>
  <c r="F174" i="2"/>
  <c r="B41" i="2"/>
  <c r="B42" i="2" s="1"/>
  <c r="G38" i="2"/>
  <c r="F179" i="2"/>
  <c r="F178" i="2" s="1"/>
  <c r="E309" i="2"/>
  <c r="C309" i="2"/>
  <c r="J309" i="2"/>
  <c r="F309" i="2"/>
  <c r="B309" i="2"/>
  <c r="B310" i="2" s="1"/>
  <c r="I309" i="2"/>
  <c r="G309" i="2"/>
  <c r="D309" i="2"/>
  <c r="H309" i="2"/>
  <c r="K309" i="2"/>
  <c r="B107" i="2"/>
  <c r="B108" i="2" s="1"/>
  <c r="G104" i="2"/>
  <c r="C299" i="2"/>
  <c r="D299" i="2" s="1"/>
  <c r="C177" i="2"/>
  <c r="C181" i="2" s="1"/>
  <c r="C182" i="2" s="1"/>
  <c r="D177" i="2"/>
  <c r="D181" i="2" s="1"/>
  <c r="D182" i="2" s="1"/>
  <c r="C300" i="2"/>
  <c r="D300" i="2" s="1"/>
  <c r="T309" i="2"/>
  <c r="T316" i="2"/>
  <c r="U308" i="2"/>
  <c r="T312" i="2"/>
  <c r="S328" i="1"/>
  <c r="S336" i="1" s="1"/>
  <c r="R332" i="1"/>
  <c r="R329" i="1"/>
  <c r="B342" i="1"/>
  <c r="B341" i="1"/>
  <c r="C341" i="1" s="1"/>
  <c r="B334" i="1"/>
  <c r="B335" i="1" s="1"/>
  <c r="D330" i="1"/>
  <c r="C333" i="1"/>
  <c r="C293" i="2" l="1"/>
  <c r="D293" i="2" s="1"/>
  <c r="G107" i="2"/>
  <c r="G108" i="2" s="1"/>
  <c r="C298" i="2"/>
  <c r="D298" i="2" s="1"/>
  <c r="B177" i="2"/>
  <c r="B181" i="2" s="1"/>
  <c r="B182" i="2" s="1"/>
  <c r="F182" i="2" s="1"/>
  <c r="F181" i="2" s="1"/>
  <c r="F176" i="2"/>
  <c r="F177" i="2" s="1"/>
  <c r="G41" i="2"/>
  <c r="G42" i="2" s="1"/>
  <c r="C292" i="2"/>
  <c r="B313" i="2"/>
  <c r="B314" i="2" s="1"/>
  <c r="C310" i="2"/>
  <c r="U309" i="2"/>
  <c r="U316" i="2"/>
  <c r="B337" i="1"/>
  <c r="B339" i="1" s="1"/>
  <c r="C337" i="1"/>
  <c r="C339" i="1" s="1"/>
  <c r="B343" i="1"/>
  <c r="B344" i="1" s="1"/>
  <c r="B350" i="1" s="1"/>
  <c r="U312" i="2"/>
  <c r="V308" i="2"/>
  <c r="T328" i="1"/>
  <c r="T336" i="1" s="1"/>
  <c r="S332" i="1"/>
  <c r="S329" i="1"/>
  <c r="D341" i="1"/>
  <c r="C342" i="1"/>
  <c r="C334" i="1"/>
  <c r="C335" i="1" s="1"/>
  <c r="D337" i="1" s="1"/>
  <c r="E330" i="1"/>
  <c r="D333" i="1"/>
  <c r="B315" i="2" l="1"/>
  <c r="D292" i="2"/>
  <c r="C303" i="2"/>
  <c r="D303" i="2" s="1"/>
  <c r="D310" i="2"/>
  <c r="C313" i="2"/>
  <c r="C314" i="2" s="1"/>
  <c r="V309" i="2"/>
  <c r="V316" i="2"/>
  <c r="B345" i="1"/>
  <c r="B347" i="1"/>
  <c r="B348" i="1" s="1"/>
  <c r="C343" i="1"/>
  <c r="C344" i="1" s="1"/>
  <c r="V312" i="2"/>
  <c r="W308" i="2"/>
  <c r="T332" i="1"/>
  <c r="U328" i="1"/>
  <c r="U336" i="1" s="1"/>
  <c r="T329" i="1"/>
  <c r="E341" i="1"/>
  <c r="D342" i="1"/>
  <c r="D334" i="1"/>
  <c r="D335" i="1" s="1"/>
  <c r="E337" i="1" s="1"/>
  <c r="D339" i="1"/>
  <c r="F330" i="1"/>
  <c r="E333" i="1"/>
  <c r="C315" i="2" l="1"/>
  <c r="D317" i="2" s="1"/>
  <c r="B322" i="2"/>
  <c r="B321" i="2"/>
  <c r="C321" i="2" s="1"/>
  <c r="E310" i="2"/>
  <c r="D313" i="2"/>
  <c r="D319" i="2" s="1"/>
  <c r="B317" i="2"/>
  <c r="B319" i="2" s="1"/>
  <c r="C317" i="2"/>
  <c r="C319" i="2" s="1"/>
  <c r="W309" i="2"/>
  <c r="W316" i="2"/>
  <c r="C347" i="1"/>
  <c r="C348" i="1" s="1"/>
  <c r="C350" i="1"/>
  <c r="C345" i="1"/>
  <c r="D343" i="1"/>
  <c r="D344" i="1" s="1"/>
  <c r="X308" i="2"/>
  <c r="W312" i="2"/>
  <c r="V328" i="1"/>
  <c r="V336" i="1" s="1"/>
  <c r="U332" i="1"/>
  <c r="U329" i="1"/>
  <c r="F341" i="1"/>
  <c r="E342" i="1"/>
  <c r="E334" i="1"/>
  <c r="E335" i="1" s="1"/>
  <c r="F337" i="1" s="1"/>
  <c r="E339" i="1"/>
  <c r="G330" i="1"/>
  <c r="F333" i="1"/>
  <c r="C322" i="2" l="1"/>
  <c r="D321" i="2"/>
  <c r="B323" i="2"/>
  <c r="B324" i="2"/>
  <c r="D314" i="2"/>
  <c r="E313" i="2"/>
  <c r="F310" i="2"/>
  <c r="X309" i="2"/>
  <c r="X316" i="2"/>
  <c r="D347" i="1"/>
  <c r="D348" i="1" s="1"/>
  <c r="D350" i="1"/>
  <c r="D345" i="1"/>
  <c r="E343" i="1"/>
  <c r="E344" i="1" s="1"/>
  <c r="X312" i="2"/>
  <c r="Y308" i="2"/>
  <c r="V332" i="1"/>
  <c r="V329" i="1"/>
  <c r="W328" i="1"/>
  <c r="W336" i="1" s="1"/>
  <c r="G341" i="1"/>
  <c r="F342" i="1"/>
  <c r="F334" i="1"/>
  <c r="F339" i="1"/>
  <c r="H330" i="1"/>
  <c r="G333" i="1"/>
  <c r="G310" i="2" l="1"/>
  <c r="F313" i="2"/>
  <c r="B325" i="2"/>
  <c r="B330" i="2"/>
  <c r="B327" i="2"/>
  <c r="B328" i="2" s="1"/>
  <c r="D322" i="2"/>
  <c r="D323" i="2" s="1"/>
  <c r="D324" i="2" s="1"/>
  <c r="E321" i="2"/>
  <c r="D315" i="2"/>
  <c r="E317" i="2" s="1"/>
  <c r="E319" i="2" s="1"/>
  <c r="E314" i="2"/>
  <c r="C323" i="2"/>
  <c r="C324" i="2"/>
  <c r="Y309" i="2"/>
  <c r="Y316" i="2"/>
  <c r="E347" i="1"/>
  <c r="E348" i="1" s="1"/>
  <c r="E350" i="1"/>
  <c r="E345" i="1"/>
  <c r="F343" i="1"/>
  <c r="F344" i="1" s="1"/>
  <c r="Y312" i="2"/>
  <c r="Z308" i="2"/>
  <c r="W332" i="1"/>
  <c r="X328" i="1"/>
  <c r="X336" i="1" s="1"/>
  <c r="W329" i="1"/>
  <c r="H341" i="1"/>
  <c r="G342" i="1"/>
  <c r="G334" i="1"/>
  <c r="G335" i="1" s="1"/>
  <c r="H337" i="1" s="1"/>
  <c r="F335" i="1"/>
  <c r="I330" i="1"/>
  <c r="H333" i="1"/>
  <c r="F321" i="2" l="1"/>
  <c r="E322" i="2"/>
  <c r="E323" i="2" s="1"/>
  <c r="E324" i="2" s="1"/>
  <c r="C327" i="2"/>
  <c r="C328" i="2" s="1"/>
  <c r="D328" i="2" s="1"/>
  <c r="C325" i="2"/>
  <c r="C330" i="2"/>
  <c r="E315" i="2"/>
  <c r="F317" i="2" s="1"/>
  <c r="F314" i="2"/>
  <c r="D330" i="2"/>
  <c r="D327" i="2"/>
  <c r="D325" i="2"/>
  <c r="F319" i="2"/>
  <c r="H310" i="2"/>
  <c r="G313" i="2"/>
  <c r="Z309" i="2"/>
  <c r="Z316" i="2"/>
  <c r="F347" i="1"/>
  <c r="F348" i="1" s="1"/>
  <c r="F350" i="1"/>
  <c r="G337" i="1"/>
  <c r="G339" i="1" s="1"/>
  <c r="F345" i="1"/>
  <c r="G343" i="1"/>
  <c r="G344" i="1" s="1"/>
  <c r="G350" i="1" s="1"/>
  <c r="Z312" i="2"/>
  <c r="AA308" i="2"/>
  <c r="X332" i="1"/>
  <c r="Y328" i="1"/>
  <c r="Y336" i="1" s="1"/>
  <c r="X329" i="1"/>
  <c r="I341" i="1"/>
  <c r="H342" i="1"/>
  <c r="H334" i="1"/>
  <c r="H335" i="1" s="1"/>
  <c r="I337" i="1" s="1"/>
  <c r="H339" i="1"/>
  <c r="J330" i="1"/>
  <c r="I333" i="1"/>
  <c r="G314" i="2" l="1"/>
  <c r="F315" i="2"/>
  <c r="G317" i="2" s="1"/>
  <c r="G319" i="2" s="1"/>
  <c r="E327" i="2"/>
  <c r="E328" i="2" s="1"/>
  <c r="E325" i="2"/>
  <c r="E330" i="2"/>
  <c r="H313" i="2"/>
  <c r="I310" i="2"/>
  <c r="G321" i="2"/>
  <c r="F322" i="2"/>
  <c r="F323" i="2" s="1"/>
  <c r="F324" i="2" s="1"/>
  <c r="AA309" i="2"/>
  <c r="AA316" i="2"/>
  <c r="G347" i="1"/>
  <c r="G348" i="1" s="1"/>
  <c r="G345" i="1"/>
  <c r="H343" i="1"/>
  <c r="H344" i="1" s="1"/>
  <c r="AB308" i="2"/>
  <c r="AA312" i="2"/>
  <c r="Y332" i="1"/>
  <c r="Z328" i="1"/>
  <c r="Z336" i="1" s="1"/>
  <c r="Y329" i="1"/>
  <c r="J341" i="1"/>
  <c r="I342" i="1"/>
  <c r="I334" i="1"/>
  <c r="I335" i="1" s="1"/>
  <c r="J337" i="1" s="1"/>
  <c r="I339" i="1"/>
  <c r="K330" i="1"/>
  <c r="J333" i="1"/>
  <c r="F325" i="2" l="1"/>
  <c r="F330" i="2"/>
  <c r="F327" i="2"/>
  <c r="F328" i="2" s="1"/>
  <c r="H319" i="2"/>
  <c r="I313" i="2"/>
  <c r="J310" i="2"/>
  <c r="H321" i="2"/>
  <c r="G322" i="2"/>
  <c r="G323" i="2" s="1"/>
  <c r="G324" i="2" s="1"/>
  <c r="G315" i="2"/>
  <c r="H317" i="2" s="1"/>
  <c r="H314" i="2"/>
  <c r="AB309" i="2"/>
  <c r="AB316" i="2"/>
  <c r="H347" i="1"/>
  <c r="H348" i="1" s="1"/>
  <c r="H350" i="1"/>
  <c r="I343" i="1"/>
  <c r="I344" i="1" s="1"/>
  <c r="H345" i="1"/>
  <c r="AC308" i="2"/>
  <c r="AB312" i="2"/>
  <c r="Z332" i="1"/>
  <c r="AA328" i="1"/>
  <c r="AA336" i="1" s="1"/>
  <c r="Z329" i="1"/>
  <c r="K341" i="1"/>
  <c r="J342" i="1"/>
  <c r="J334" i="1"/>
  <c r="J335" i="1" s="1"/>
  <c r="K337" i="1" s="1"/>
  <c r="J339" i="1"/>
  <c r="L330" i="1"/>
  <c r="K333" i="1"/>
  <c r="G327" i="2" l="1"/>
  <c r="G328" i="2" s="1"/>
  <c r="G325" i="2"/>
  <c r="G330" i="2"/>
  <c r="H322" i="2"/>
  <c r="H323" i="2" s="1"/>
  <c r="H324" i="2" s="1"/>
  <c r="I321" i="2"/>
  <c r="I314" i="2"/>
  <c r="H315" i="2"/>
  <c r="I317" i="2" s="1"/>
  <c r="I319" i="2" s="1"/>
  <c r="J313" i="2"/>
  <c r="K310" i="2"/>
  <c r="AC309" i="2"/>
  <c r="AC316" i="2"/>
  <c r="I347" i="1"/>
  <c r="I348" i="1" s="1"/>
  <c r="I350" i="1"/>
  <c r="I345" i="1"/>
  <c r="J343" i="1"/>
  <c r="J344" i="1" s="1"/>
  <c r="AC312" i="2"/>
  <c r="AD308" i="2"/>
  <c r="AA332" i="1"/>
  <c r="AA329" i="1"/>
  <c r="AB328" i="1"/>
  <c r="AB336" i="1" s="1"/>
  <c r="L341" i="1"/>
  <c r="K342" i="1"/>
  <c r="K334" i="1"/>
  <c r="K335" i="1" s="1"/>
  <c r="L337" i="1" s="1"/>
  <c r="K339" i="1"/>
  <c r="M330" i="1"/>
  <c r="L333" i="1"/>
  <c r="J314" i="2" l="1"/>
  <c r="I315" i="2"/>
  <c r="J317" i="2" s="1"/>
  <c r="J319" i="2" s="1"/>
  <c r="L310" i="2"/>
  <c r="K313" i="2"/>
  <c r="H325" i="2"/>
  <c r="H330" i="2"/>
  <c r="H327" i="2"/>
  <c r="H328" i="2" s="1"/>
  <c r="J321" i="2"/>
  <c r="I322" i="2"/>
  <c r="I323" i="2" s="1"/>
  <c r="I324" i="2" s="1"/>
  <c r="AD309" i="2"/>
  <c r="AD316" i="2"/>
  <c r="J347" i="1"/>
  <c r="J348" i="1" s="1"/>
  <c r="J350" i="1"/>
  <c r="J345" i="1"/>
  <c r="K343" i="1"/>
  <c r="K344" i="1" s="1"/>
  <c r="AD312" i="2"/>
  <c r="AE308" i="2"/>
  <c r="AB332" i="1"/>
  <c r="AC328" i="1"/>
  <c r="AC336" i="1" s="1"/>
  <c r="AB329" i="1"/>
  <c r="M341" i="1"/>
  <c r="L342" i="1"/>
  <c r="L334" i="1"/>
  <c r="L335" i="1" s="1"/>
  <c r="M337" i="1" s="1"/>
  <c r="L339" i="1"/>
  <c r="N330" i="1"/>
  <c r="M333" i="1"/>
  <c r="M310" i="2" l="1"/>
  <c r="L313" i="2"/>
  <c r="I330" i="2"/>
  <c r="I327" i="2"/>
  <c r="I328" i="2" s="1"/>
  <c r="I325" i="2"/>
  <c r="K321" i="2"/>
  <c r="J322" i="2"/>
  <c r="J323" i="2" s="1"/>
  <c r="J324" i="2" s="1"/>
  <c r="J315" i="2"/>
  <c r="K317" i="2" s="1"/>
  <c r="K314" i="2"/>
  <c r="K319" i="2"/>
  <c r="AE309" i="2"/>
  <c r="AE316" i="2"/>
  <c r="K347" i="1"/>
  <c r="K348" i="1" s="1"/>
  <c r="K350" i="1"/>
  <c r="K345" i="1"/>
  <c r="L343" i="1"/>
  <c r="L344" i="1" s="1"/>
  <c r="AE312" i="2"/>
  <c r="AF309" i="2"/>
  <c r="AC332" i="1"/>
  <c r="AC329" i="1"/>
  <c r="AD328" i="1"/>
  <c r="AD336" i="1" s="1"/>
  <c r="N341" i="1"/>
  <c r="M342" i="1"/>
  <c r="M334" i="1"/>
  <c r="M335" i="1" s="1"/>
  <c r="N337" i="1" s="1"/>
  <c r="M339" i="1"/>
  <c r="O330" i="1"/>
  <c r="N333" i="1"/>
  <c r="L321" i="2" l="1"/>
  <c r="K322" i="2"/>
  <c r="K323" i="2" s="1"/>
  <c r="K324" i="2" s="1"/>
  <c r="L314" i="2"/>
  <c r="K315" i="2"/>
  <c r="L317" i="2" s="1"/>
  <c r="L319" i="2" s="1"/>
  <c r="J325" i="2"/>
  <c r="J330" i="2"/>
  <c r="J327" i="2"/>
  <c r="J328" i="2" s="1"/>
  <c r="M313" i="2"/>
  <c r="N310" i="2"/>
  <c r="L347" i="1"/>
  <c r="L348" i="1" s="1"/>
  <c r="L350" i="1"/>
  <c r="M343" i="1"/>
  <c r="M344" i="1" s="1"/>
  <c r="L345" i="1"/>
  <c r="AD332" i="1"/>
  <c r="AD329" i="1"/>
  <c r="AE328" i="1"/>
  <c r="AE336" i="1" s="1"/>
  <c r="O341" i="1"/>
  <c r="N342" i="1"/>
  <c r="N334" i="1"/>
  <c r="N335" i="1" s="1"/>
  <c r="O337" i="1" s="1"/>
  <c r="N339" i="1"/>
  <c r="P330" i="1"/>
  <c r="O333" i="1"/>
  <c r="O310" i="2" l="1"/>
  <c r="N313" i="2"/>
  <c r="M314" i="2"/>
  <c r="L315" i="2"/>
  <c r="M317" i="2" s="1"/>
  <c r="M319" i="2" s="1"/>
  <c r="K330" i="2"/>
  <c r="K325" i="2"/>
  <c r="K327" i="2"/>
  <c r="K328" i="2" s="1"/>
  <c r="L322" i="2"/>
  <c r="L323" i="2" s="1"/>
  <c r="L324" i="2" s="1"/>
  <c r="M321" i="2"/>
  <c r="M347" i="1"/>
  <c r="M348" i="1" s="1"/>
  <c r="M350" i="1"/>
  <c r="M345" i="1"/>
  <c r="N343" i="1"/>
  <c r="N344" i="1" s="1"/>
  <c r="AE329" i="1"/>
  <c r="AF329" i="1" s="1"/>
  <c r="AE332" i="1"/>
  <c r="P341" i="1"/>
  <c r="O342" i="1"/>
  <c r="O334" i="1"/>
  <c r="O335" i="1" s="1"/>
  <c r="P337" i="1" s="1"/>
  <c r="O339" i="1"/>
  <c r="Q330" i="1"/>
  <c r="P333" i="1"/>
  <c r="N321" i="2" l="1"/>
  <c r="M322" i="2"/>
  <c r="M323" i="2" s="1"/>
  <c r="M324" i="2" s="1"/>
  <c r="N314" i="2"/>
  <c r="M315" i="2"/>
  <c r="N317" i="2" s="1"/>
  <c r="N319" i="2" s="1"/>
  <c r="L330" i="2"/>
  <c r="L325" i="2"/>
  <c r="L327" i="2"/>
  <c r="L328" i="2" s="1"/>
  <c r="P310" i="2"/>
  <c r="O313" i="2"/>
  <c r="N347" i="1"/>
  <c r="N348" i="1" s="1"/>
  <c r="N350" i="1"/>
  <c r="N345" i="1"/>
  <c r="O343" i="1"/>
  <c r="O344" i="1" s="1"/>
  <c r="Q341" i="1"/>
  <c r="P342" i="1"/>
  <c r="P334" i="1"/>
  <c r="P335" i="1" s="1"/>
  <c r="Q337" i="1" s="1"/>
  <c r="P339" i="1"/>
  <c r="R330" i="1"/>
  <c r="Q333" i="1"/>
  <c r="O314" i="2" l="1"/>
  <c r="N315" i="2"/>
  <c r="O317" i="2" s="1"/>
  <c r="O319" i="2"/>
  <c r="M330" i="2"/>
  <c r="M325" i="2"/>
  <c r="M327" i="2"/>
  <c r="M328" i="2" s="1"/>
  <c r="Q310" i="2"/>
  <c r="P313" i="2"/>
  <c r="N322" i="2"/>
  <c r="N323" i="2" s="1"/>
  <c r="N324" i="2" s="1"/>
  <c r="O321" i="2"/>
  <c r="O347" i="1"/>
  <c r="O348" i="1" s="1"/>
  <c r="O350" i="1"/>
  <c r="O345" i="1"/>
  <c r="P343" i="1"/>
  <c r="P344" i="1" s="1"/>
  <c r="R341" i="1"/>
  <c r="Q342" i="1"/>
  <c r="Q334" i="1"/>
  <c r="Q335" i="1" s="1"/>
  <c r="R337" i="1" s="1"/>
  <c r="Q339" i="1"/>
  <c r="S330" i="1"/>
  <c r="R333" i="1"/>
  <c r="Q313" i="2" l="1"/>
  <c r="R310" i="2"/>
  <c r="P319" i="2"/>
  <c r="P321" i="2"/>
  <c r="O322" i="2"/>
  <c r="O323" i="2" s="1"/>
  <c r="O324" i="2" s="1"/>
  <c r="N325" i="2"/>
  <c r="N327" i="2"/>
  <c r="N328" i="2" s="1"/>
  <c r="N330" i="2"/>
  <c r="P314" i="2"/>
  <c r="O315" i="2"/>
  <c r="P317" i="2" s="1"/>
  <c r="P347" i="1"/>
  <c r="P348" i="1" s="1"/>
  <c r="P350" i="1"/>
  <c r="P345" i="1"/>
  <c r="Q343" i="1"/>
  <c r="Q344" i="1" s="1"/>
  <c r="S341" i="1"/>
  <c r="R342" i="1"/>
  <c r="R334" i="1"/>
  <c r="R335" i="1" s="1"/>
  <c r="S337" i="1" s="1"/>
  <c r="R339" i="1"/>
  <c r="T330" i="1"/>
  <c r="U330" i="1" s="1"/>
  <c r="S333" i="1"/>
  <c r="Q321" i="2" l="1"/>
  <c r="P322" i="2"/>
  <c r="P323" i="2" s="1"/>
  <c r="P324" i="2" s="1"/>
  <c r="R313" i="2"/>
  <c r="S310" i="2"/>
  <c r="P315" i="2"/>
  <c r="Q317" i="2" s="1"/>
  <c r="Q314" i="2"/>
  <c r="O327" i="2"/>
  <c r="O328" i="2" s="1"/>
  <c r="O330" i="2"/>
  <c r="O325" i="2"/>
  <c r="Q319" i="2"/>
  <c r="Q347" i="1"/>
  <c r="Q348" i="1" s="1"/>
  <c r="Q350" i="1"/>
  <c r="Q345" i="1"/>
  <c r="R343" i="1"/>
  <c r="R344" i="1" s="1"/>
  <c r="U333" i="1"/>
  <c r="V330" i="1"/>
  <c r="T341" i="1"/>
  <c r="U341" i="1" s="1"/>
  <c r="S342" i="1"/>
  <c r="S334" i="1"/>
  <c r="S335" i="1" s="1"/>
  <c r="T337" i="1" s="1"/>
  <c r="S339" i="1"/>
  <c r="T333" i="1"/>
  <c r="R314" i="2" l="1"/>
  <c r="Q315" i="2"/>
  <c r="R317" i="2" s="1"/>
  <c r="P325" i="2"/>
  <c r="P327" i="2"/>
  <c r="P328" i="2" s="1"/>
  <c r="P330" i="2"/>
  <c r="R319" i="2"/>
  <c r="R321" i="2"/>
  <c r="Q322" i="2"/>
  <c r="Q323" i="2" s="1"/>
  <c r="Q324" i="2" s="1"/>
  <c r="S313" i="2"/>
  <c r="T310" i="2"/>
  <c r="R347" i="1"/>
  <c r="R348" i="1" s="1"/>
  <c r="R350" i="1"/>
  <c r="R345" i="1"/>
  <c r="S343" i="1"/>
  <c r="S344" i="1" s="1"/>
  <c r="W330" i="1"/>
  <c r="V333" i="1"/>
  <c r="V341" i="1"/>
  <c r="U342" i="1"/>
  <c r="T342" i="1"/>
  <c r="T334" i="1"/>
  <c r="T339" i="1"/>
  <c r="Q330" i="2" l="1"/>
  <c r="Q325" i="2"/>
  <c r="Q327" i="2"/>
  <c r="Q328" i="2" s="1"/>
  <c r="R322" i="2"/>
  <c r="R323" i="2" s="1"/>
  <c r="R324" i="2" s="1"/>
  <c r="S321" i="2"/>
  <c r="U310" i="2"/>
  <c r="T313" i="2"/>
  <c r="S319" i="2"/>
  <c r="R315" i="2"/>
  <c r="S317" i="2" s="1"/>
  <c r="S314" i="2"/>
  <c r="S347" i="1"/>
  <c r="S348" i="1" s="1"/>
  <c r="S350" i="1"/>
  <c r="S345" i="1"/>
  <c r="T343" i="1"/>
  <c r="T344" i="1" s="1"/>
  <c r="U343" i="1"/>
  <c r="U344" i="1" s="1"/>
  <c r="U350" i="1" s="1"/>
  <c r="W333" i="1"/>
  <c r="X330" i="1"/>
  <c r="T335" i="1"/>
  <c r="U337" i="1" s="1"/>
  <c r="U334" i="1"/>
  <c r="W341" i="1"/>
  <c r="V342" i="1"/>
  <c r="T314" i="2" l="1"/>
  <c r="S315" i="2"/>
  <c r="T317" i="2" s="1"/>
  <c r="T319" i="2" s="1"/>
  <c r="U313" i="2"/>
  <c r="V310" i="2"/>
  <c r="R330" i="2"/>
  <c r="R325" i="2"/>
  <c r="R327" i="2"/>
  <c r="R328" i="2" s="1"/>
  <c r="T321" i="2"/>
  <c r="S322" i="2"/>
  <c r="S323" i="2" s="1"/>
  <c r="S324" i="2" s="1"/>
  <c r="T347" i="1"/>
  <c r="T348" i="1" s="1"/>
  <c r="T350" i="1"/>
  <c r="U345" i="1"/>
  <c r="T345" i="1"/>
  <c r="V343" i="1"/>
  <c r="V344" i="1" s="1"/>
  <c r="V350" i="1" s="1"/>
  <c r="X333" i="1"/>
  <c r="Y330" i="1"/>
  <c r="X341" i="1"/>
  <c r="W342" i="1"/>
  <c r="U335" i="1"/>
  <c r="V334" i="1"/>
  <c r="U339" i="1"/>
  <c r="U347" i="1" s="1"/>
  <c r="S325" i="2" l="1"/>
  <c r="S330" i="2"/>
  <c r="S327" i="2"/>
  <c r="S328" i="2" s="1"/>
  <c r="U314" i="2"/>
  <c r="T315" i="2"/>
  <c r="U317" i="2" s="1"/>
  <c r="U319" i="2" s="1"/>
  <c r="T322" i="2"/>
  <c r="T323" i="2" s="1"/>
  <c r="T324" i="2" s="1"/>
  <c r="U321" i="2"/>
  <c r="V313" i="2"/>
  <c r="W310" i="2"/>
  <c r="V337" i="1"/>
  <c r="V339" i="1" s="1"/>
  <c r="V347" i="1" s="1"/>
  <c r="V345" i="1"/>
  <c r="U348" i="1"/>
  <c r="W343" i="1"/>
  <c r="W344" i="1" s="1"/>
  <c r="W350" i="1" s="1"/>
  <c r="Y333" i="1"/>
  <c r="Z330" i="1"/>
  <c r="W334" i="1"/>
  <c r="V335" i="1"/>
  <c r="W337" i="1" s="1"/>
  <c r="Y341" i="1"/>
  <c r="X342" i="1"/>
  <c r="V321" i="2" l="1"/>
  <c r="U322" i="2"/>
  <c r="U323" i="2" s="1"/>
  <c r="U324" i="2" s="1"/>
  <c r="T330" i="2"/>
  <c r="T325" i="2"/>
  <c r="T327" i="2"/>
  <c r="T328" i="2" s="1"/>
  <c r="X310" i="2"/>
  <c r="W313" i="2"/>
  <c r="U315" i="2"/>
  <c r="V317" i="2" s="1"/>
  <c r="V319" i="2" s="1"/>
  <c r="V314" i="2"/>
  <c r="V348" i="1"/>
  <c r="W345" i="1"/>
  <c r="X343" i="1"/>
  <c r="X344" i="1" s="1"/>
  <c r="X350" i="1" s="1"/>
  <c r="AA330" i="1"/>
  <c r="Z333" i="1"/>
  <c r="W339" i="1"/>
  <c r="W347" i="1" s="1"/>
  <c r="Z341" i="1"/>
  <c r="Y342" i="1"/>
  <c r="X334" i="1"/>
  <c r="W335" i="1"/>
  <c r="X313" i="2" l="1"/>
  <c r="Y310" i="2"/>
  <c r="U330" i="2"/>
  <c r="U327" i="2"/>
  <c r="U328" i="2" s="1"/>
  <c r="U325" i="2"/>
  <c r="V315" i="2"/>
  <c r="W317" i="2" s="1"/>
  <c r="W319" i="2" s="1"/>
  <c r="W314" i="2"/>
  <c r="W321" i="2"/>
  <c r="V322" i="2"/>
  <c r="V323" i="2" s="1"/>
  <c r="V324" i="2" s="1"/>
  <c r="X337" i="1"/>
  <c r="X339" i="1" s="1"/>
  <c r="X347" i="1" s="1"/>
  <c r="X345" i="1"/>
  <c r="Y343" i="1"/>
  <c r="Y344" i="1" s="1"/>
  <c r="Y350" i="1" s="1"/>
  <c r="W348" i="1"/>
  <c r="AB330" i="1"/>
  <c r="AA333" i="1"/>
  <c r="Y334" i="1"/>
  <c r="X335" i="1"/>
  <c r="AA341" i="1"/>
  <c r="Z342" i="1"/>
  <c r="Y313" i="2" l="1"/>
  <c r="Z310" i="2"/>
  <c r="V325" i="2"/>
  <c r="V330" i="2"/>
  <c r="V327" i="2"/>
  <c r="V328" i="2" s="1"/>
  <c r="X314" i="2"/>
  <c r="W315" i="2"/>
  <c r="X317" i="2" s="1"/>
  <c r="X319" i="2" s="1"/>
  <c r="W322" i="2"/>
  <c r="W323" i="2" s="1"/>
  <c r="W324" i="2" s="1"/>
  <c r="X321" i="2"/>
  <c r="Y337" i="1"/>
  <c r="Y339" i="1" s="1"/>
  <c r="Y347" i="1" s="1"/>
  <c r="X348" i="1"/>
  <c r="Y345" i="1"/>
  <c r="Z343" i="1"/>
  <c r="Z344" i="1" s="1"/>
  <c r="Z350" i="1" s="1"/>
  <c r="AC330" i="1"/>
  <c r="AB333" i="1"/>
  <c r="AB341" i="1"/>
  <c r="AA342" i="1"/>
  <c r="Z334" i="1"/>
  <c r="Y335" i="1"/>
  <c r="Y314" i="2" l="1"/>
  <c r="X315" i="2"/>
  <c r="Y317" i="2" s="1"/>
  <c r="X322" i="2"/>
  <c r="X323" i="2" s="1"/>
  <c r="X324" i="2" s="1"/>
  <c r="Y321" i="2"/>
  <c r="AA310" i="2"/>
  <c r="Z313" i="2"/>
  <c r="W325" i="2"/>
  <c r="W330" i="2"/>
  <c r="W327" i="2"/>
  <c r="W328" i="2"/>
  <c r="Y319" i="2"/>
  <c r="Y348" i="1"/>
  <c r="Z337" i="1"/>
  <c r="Z339" i="1" s="1"/>
  <c r="Z347" i="1" s="1"/>
  <c r="Z345" i="1"/>
  <c r="AA343" i="1"/>
  <c r="AA344" i="1" s="1"/>
  <c r="AA350" i="1" s="1"/>
  <c r="AD330" i="1"/>
  <c r="AC333" i="1"/>
  <c r="Z335" i="1"/>
  <c r="AA334" i="1"/>
  <c r="AC341" i="1"/>
  <c r="AB342" i="1"/>
  <c r="X330" i="2" l="1"/>
  <c r="X327" i="2"/>
  <c r="X328" i="2" s="1"/>
  <c r="X325" i="2"/>
  <c r="Z321" i="2"/>
  <c r="Y322" i="2"/>
  <c r="Y323" i="2" s="1"/>
  <c r="Y324" i="2" s="1"/>
  <c r="AB310" i="2"/>
  <c r="AA313" i="2"/>
  <c r="Z314" i="2"/>
  <c r="Y315" i="2"/>
  <c r="Z317" i="2" s="1"/>
  <c r="Z319" i="2" s="1"/>
  <c r="Z348" i="1"/>
  <c r="AA337" i="1"/>
  <c r="AA339" i="1" s="1"/>
  <c r="AA347" i="1" s="1"/>
  <c r="AA345" i="1"/>
  <c r="AB343" i="1"/>
  <c r="AB344" i="1" s="1"/>
  <c r="AB350" i="1" s="1"/>
  <c r="AD333" i="1"/>
  <c r="AE330" i="1"/>
  <c r="AE333" i="1" s="1"/>
  <c r="AD341" i="1"/>
  <c r="AC342" i="1"/>
  <c r="AB334" i="1"/>
  <c r="AA335" i="1"/>
  <c r="AB337" i="1" s="1"/>
  <c r="Z322" i="2" l="1"/>
  <c r="Z323" i="2" s="1"/>
  <c r="Z324" i="2" s="1"/>
  <c r="AA321" i="2"/>
  <c r="AC310" i="2"/>
  <c r="AB313" i="2"/>
  <c r="AF333" i="1"/>
  <c r="AA314" i="2"/>
  <c r="Z315" i="2"/>
  <c r="AA317" i="2" s="1"/>
  <c r="AA319" i="2" s="1"/>
  <c r="Y330" i="2"/>
  <c r="Y327" i="2"/>
  <c r="Y328" i="2" s="1"/>
  <c r="Y325" i="2"/>
  <c r="AA348" i="1"/>
  <c r="AB345" i="1"/>
  <c r="AC343" i="1"/>
  <c r="AC344" i="1" s="1"/>
  <c r="AC350" i="1" s="1"/>
  <c r="AB339" i="1"/>
  <c r="AB347" i="1" s="1"/>
  <c r="AC334" i="1"/>
  <c r="AB335" i="1"/>
  <c r="AE341" i="1"/>
  <c r="AE342" i="1" s="1"/>
  <c r="AD342" i="1"/>
  <c r="AB314" i="2" l="1"/>
  <c r="AA315" i="2"/>
  <c r="AB317" i="2" s="1"/>
  <c r="AA322" i="2"/>
  <c r="AA323" i="2" s="1"/>
  <c r="AA324" i="2" s="1"/>
  <c r="AB321" i="2"/>
  <c r="AC313" i="2"/>
  <c r="AD310" i="2"/>
  <c r="AB319" i="2"/>
  <c r="Z325" i="2"/>
  <c r="Z330" i="2"/>
  <c r="Z327" i="2"/>
  <c r="Z328" i="2" s="1"/>
  <c r="AC337" i="1"/>
  <c r="AC339" i="1" s="1"/>
  <c r="AC347" i="1" s="1"/>
  <c r="AC345" i="1"/>
  <c r="AE343" i="1"/>
  <c r="AD343" i="1"/>
  <c r="AD344" i="1" s="1"/>
  <c r="AD350" i="1" s="1"/>
  <c r="AB348" i="1"/>
  <c r="AF342" i="1"/>
  <c r="AD334" i="1"/>
  <c r="AC335" i="1"/>
  <c r="AD313" i="2" l="1"/>
  <c r="AE310" i="2"/>
  <c r="AE313" i="2" s="1"/>
  <c r="AF313" i="2"/>
  <c r="AA325" i="2"/>
  <c r="AA330" i="2"/>
  <c r="AA327" i="2"/>
  <c r="AA328" i="2" s="1"/>
  <c r="AC321" i="2"/>
  <c r="AB322" i="2"/>
  <c r="AB323" i="2" s="1"/>
  <c r="AB324" i="2" s="1"/>
  <c r="AB315" i="2"/>
  <c r="AC317" i="2" s="1"/>
  <c r="AC319" i="2" s="1"/>
  <c r="AC314" i="2"/>
  <c r="AF343" i="1"/>
  <c r="AD337" i="1"/>
  <c r="AD339" i="1" s="1"/>
  <c r="AD347" i="1" s="1"/>
  <c r="AC348" i="1"/>
  <c r="AD345" i="1"/>
  <c r="AE344" i="1"/>
  <c r="AE350" i="1" s="1"/>
  <c r="AE334" i="1"/>
  <c r="AE335" i="1" s="1"/>
  <c r="AD335" i="1"/>
  <c r="AE337" i="1" s="1"/>
  <c r="AB330" i="2" l="1"/>
  <c r="AB327" i="2"/>
  <c r="AB328" i="2" s="1"/>
  <c r="AB325" i="2"/>
  <c r="AD314" i="2"/>
  <c r="AC315" i="2"/>
  <c r="AD317" i="2" s="1"/>
  <c r="AC322" i="2"/>
  <c r="AD321" i="2"/>
  <c r="AD319" i="2"/>
  <c r="AF350" i="1"/>
  <c r="B352" i="1"/>
  <c r="AD348" i="1"/>
  <c r="AE345" i="1"/>
  <c r="AF344" i="1"/>
  <c r="AE339" i="1"/>
  <c r="AE347" i="1" s="1"/>
  <c r="AF337" i="1"/>
  <c r="AE321" i="2" l="1"/>
  <c r="AE322" i="2" s="1"/>
  <c r="AD322" i="2"/>
  <c r="AE314" i="2"/>
  <c r="AE315" i="2" s="1"/>
  <c r="AD315" i="2"/>
  <c r="AE317" i="2" s="1"/>
  <c r="AC323" i="2"/>
  <c r="AC324" i="2" s="1"/>
  <c r="AF322" i="2"/>
  <c r="AF339" i="1"/>
  <c r="AF347" i="1"/>
  <c r="AE319" i="2" l="1"/>
  <c r="AF319" i="2" s="1"/>
  <c r="AF317" i="2"/>
  <c r="AD323" i="2"/>
  <c r="AD324" i="2"/>
  <c r="AC325" i="2"/>
  <c r="AC330" i="2"/>
  <c r="AC327" i="2"/>
  <c r="AC328" i="2" s="1"/>
  <c r="AE323" i="2"/>
  <c r="AE324" i="2" s="1"/>
  <c r="AE348" i="1"/>
  <c r="AE325" i="2" l="1"/>
  <c r="AE330" i="2"/>
  <c r="AE327" i="2"/>
  <c r="AD330" i="2"/>
  <c r="AF330" i="2" s="1"/>
  <c r="AD325" i="2"/>
  <c r="AF324" i="2"/>
  <c r="AD327" i="2"/>
  <c r="AD328" i="2" s="1"/>
  <c r="AE328" i="2" s="1"/>
  <c r="AF323" i="2"/>
  <c r="AF327" i="2"/>
  <c r="B332" i="2" l="1"/>
</calcChain>
</file>

<file path=xl/sharedStrings.xml><?xml version="1.0" encoding="utf-8"?>
<sst xmlns="http://schemas.openxmlformats.org/spreadsheetml/2006/main" count="1192" uniqueCount="370">
  <si>
    <t>Community Grid Electricity Supply Model</t>
  </si>
  <si>
    <t xml:space="preserve">Community (Note 1) </t>
  </si>
  <si>
    <t>Notes:</t>
  </si>
  <si>
    <t>Dwelling type</t>
  </si>
  <si>
    <t>Average flloor area (sqm)</t>
  </si>
  <si>
    <t>Community Domestic Properties</t>
  </si>
  <si>
    <t>Average no. of storeys</t>
  </si>
  <si>
    <t>Terraced</t>
  </si>
  <si>
    <t>Semi-</t>
  </si>
  <si>
    <t>detached</t>
  </si>
  <si>
    <t>Bungalows</t>
  </si>
  <si>
    <t>Flats</t>
  </si>
  <si>
    <t>No. of properties (million)</t>
  </si>
  <si>
    <t>Total</t>
  </si>
  <si>
    <t>Median EPC Rating</t>
  </si>
  <si>
    <t>Total floor area (million sqm)</t>
  </si>
  <si>
    <t>Community Commercial Properties</t>
  </si>
  <si>
    <t>Property type</t>
  </si>
  <si>
    <t>Retail</t>
  </si>
  <si>
    <t>Factories</t>
  </si>
  <si>
    <t>Warehouses</t>
  </si>
  <si>
    <t>Commercial</t>
  </si>
  <si>
    <t>offices</t>
  </si>
  <si>
    <t>Other offices</t>
  </si>
  <si>
    <t xml:space="preserve"> /premises</t>
  </si>
  <si>
    <t>Community Poulation (million):</t>
  </si>
  <si>
    <t>NN6 7JZ</t>
  </si>
  <si>
    <t xml:space="preserve">Community Centre Location /Building (Note 2) </t>
  </si>
  <si>
    <t>Community Centre Post Code</t>
  </si>
  <si>
    <t>Crick, Northants.</t>
  </si>
  <si>
    <t>Solar Radiation Database: PVGIS = SARAH; System loss = 8%; Mounting position = Free-standing;</t>
  </si>
  <si>
    <t>Azimuth</t>
  </si>
  <si>
    <t>South</t>
  </si>
  <si>
    <t>North</t>
  </si>
  <si>
    <t>East</t>
  </si>
  <si>
    <t>West</t>
  </si>
  <si>
    <t>Average</t>
  </si>
  <si>
    <t>Domestic property</t>
  </si>
  <si>
    <t>Commercial property</t>
  </si>
  <si>
    <t>Solar PV electricity generation performance at Community Centre (kWh pa /kW installed solar PV system capacity; Note 3)</t>
  </si>
  <si>
    <t xml:space="preserve"> /South (%)</t>
  </si>
  <si>
    <t>Total roof area on plan (million sqm)</t>
  </si>
  <si>
    <t>Detached</t>
  </si>
  <si>
    <t>Community Car Parks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</si>
  <si>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. Town, City or Region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</si>
  <si>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Centre of gravity of Community built up area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</si>
  <si>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 PV Geographical Information System (PVGIS;  https://re.jrc.ec.europa.eu/pvg_tools/en/#PVP)</t>
    </r>
  </si>
  <si>
    <t>Azimuth = 0 degrees (south),  -90 degrees (east), 90 degrees (west) or 180 degrees (north)</t>
  </si>
  <si>
    <t xml:space="preserve">Roof /Solar Array Slope = 40 degrees (domestic), 10 degrees (commercial) 2.5 degrees (car park solar PV frame); </t>
  </si>
  <si>
    <t xml:space="preserve"> kW per sqm</t>
  </si>
  <si>
    <t xml:space="preserve">Standard solar PV capacity per car park space = </t>
  </si>
  <si>
    <t>kW per space</t>
  </si>
  <si>
    <t xml:space="preserve">No. of car park spaces (thiousand; Note 6)) </t>
  </si>
  <si>
    <t>unshaded by buildings /other obstructions.</t>
  </si>
  <si>
    <t>least 1 internal access road at at least 20 parking spaces, and the proposed solar car park array area must be</t>
  </si>
  <si>
    <t>Community Motorways &amp; Dual Carriageways</t>
  </si>
  <si>
    <t>Solar car park, motorway dual carriageway</t>
  </si>
  <si>
    <t>Length of motorways (km)</t>
  </si>
  <si>
    <t>Proportion of motorway length covered by solar farmes (%)</t>
  </si>
  <si>
    <t>m</t>
  </si>
  <si>
    <t>emergency lane and 3m wide half of central reservation per carriageway) =</t>
  </si>
  <si>
    <t>Length of dual carriageways (km)</t>
  </si>
  <si>
    <t>GW</t>
  </si>
  <si>
    <t>TWh pa</t>
  </si>
  <si>
    <t>Potential Commercial roof-mounted solar PV system capacity (GW)</t>
  </si>
  <si>
    <t>Annual potential electricity generation by Commercial roof mounted solar PV systems (TWh pa)</t>
  </si>
  <si>
    <t>Potential Domestic roof-mounted solar PV system capacity (GW)</t>
  </si>
  <si>
    <t>Potential Solar car park PV  capacity (GW; Notes 4 &amp; 5)</t>
  </si>
  <si>
    <t>Annual potential electricity generation by solar car park PV systems (TWh pa)</t>
  </si>
  <si>
    <t>Potential Motorway solar frame  capacity (GW; Notes 5 &amp; 7)</t>
  </si>
  <si>
    <t>Annual potential electricity generation by motorway solar frame PV systems (TWh pa)</t>
  </si>
  <si>
    <t>Potential Dual carriageway solar frame  capacity (GW; Notes 5 &amp; 8)</t>
  </si>
  <si>
    <t>Annual potential electricity generation by dual carriageway solar frame PV systems (TWh pa)</t>
  </si>
  <si>
    <t>Potential Total solar PV system capacity (GW)</t>
  </si>
  <si>
    <t>Total potential annual electricity generation by solar PV systems (TWh pa)</t>
  </si>
  <si>
    <t>United Kingdom</t>
  </si>
  <si>
    <t>Potential Domestic roof-mounted solar PV system capacity per dwelling (kW)</t>
  </si>
  <si>
    <t>kW</t>
  </si>
  <si>
    <t>Potential Commercial roof-mounted solar PV system capacity per property (kW)</t>
  </si>
  <si>
    <t>kWh per sqm</t>
  </si>
  <si>
    <t xml:space="preserve">Current electricity usage per dwelling (MWh pa) </t>
  </si>
  <si>
    <t>Total current electricity usage for domestic properties (TWh pa)</t>
  </si>
  <si>
    <t>MWh per sqm</t>
  </si>
  <si>
    <t xml:space="preserve">Current electricity usage per commercial property (MWh pa) </t>
  </si>
  <si>
    <t>Total current electricity usage for commercial properties (TWh pa)</t>
  </si>
  <si>
    <t xml:space="preserve">Potential electricity required for 100% EVs </t>
  </si>
  <si>
    <t>Vehicle Type</t>
  </si>
  <si>
    <t>Cars</t>
  </si>
  <si>
    <t>HGVs</t>
  </si>
  <si>
    <t>Buses &amp; Coaches</t>
  </si>
  <si>
    <t>Vehicle battery performance (miles per kWh)</t>
  </si>
  <si>
    <t>miles pa</t>
  </si>
  <si>
    <t>million</t>
  </si>
  <si>
    <t>Average miles per annum per vehicle (miles pa)</t>
  </si>
  <si>
    <t>No. of vehicles (million)</t>
  </si>
  <si>
    <t>Total miles pa (billion)</t>
  </si>
  <si>
    <t>miles per kWh</t>
  </si>
  <si>
    <t>Usable heat required for space heating &amp; hot water (kWh pa per sqm)</t>
  </si>
  <si>
    <t>Usable heat required for space heating, hot water &amp; processes (kWh pa per sqm)</t>
  </si>
  <si>
    <t>Annual</t>
  </si>
  <si>
    <t>Monthly</t>
  </si>
  <si>
    <t xml:space="preserve"> (average)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</si>
  <si>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</si>
  <si>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</si>
  <si>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</si>
  <si>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</si>
  <si>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</si>
  <si>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</si>
  <si>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</si>
  <si>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</si>
  <si>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</si>
  <si>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</si>
  <si>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</si>
  <si>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</si>
  <si>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</si>
  <si>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Electricity Usage (TWh)</t>
  </si>
  <si>
    <t>Month /Average Month Usage Multiplier</t>
  </si>
  <si>
    <t>Current Domestic Electricity Usage</t>
  </si>
  <si>
    <t>Monthly Usage (TWh)</t>
  </si>
  <si>
    <t>Current Commercial Electricity Usage</t>
  </si>
  <si>
    <r>
      <t xml:space="preserve">Potential electricity required for 100% Air Source Heat Pumps for space heating, hot water &amp; processes (TWh pa; </t>
    </r>
    <r>
      <rPr>
        <b/>
        <sz val="11"/>
        <color theme="1"/>
        <rFont val="Calibri"/>
        <family val="2"/>
        <scheme val="minor"/>
      </rPr>
      <t>Note 9</t>
    </r>
    <r>
      <rPr>
        <sz val="11"/>
        <color theme="1"/>
        <rFont val="Calibri"/>
        <family val="2"/>
        <scheme val="minor"/>
      </rPr>
      <t>)</t>
    </r>
  </si>
  <si>
    <r>
      <t xml:space="preserve">Potential electricity required for 100% Air Source Heat Pumps for space heating &amp; hot water (TWh pa; </t>
    </r>
    <r>
      <rPr>
        <b/>
        <sz val="11"/>
        <color theme="1"/>
        <rFont val="Calibri"/>
        <family val="2"/>
        <scheme val="minor"/>
      </rPr>
      <t>Note 9</t>
    </r>
    <r>
      <rPr>
        <sz val="11"/>
        <color theme="1"/>
        <rFont val="Calibri"/>
        <family val="2"/>
        <scheme val="minor"/>
      </rPr>
      <t>)</t>
    </r>
  </si>
  <si>
    <t>Potential electricity required for 100% EVs  (TWh pa)</t>
  </si>
  <si>
    <t>Potential electricity required for 100% Air Source Heat Pumps for space heating, hot water &amp; processes</t>
  </si>
  <si>
    <t>Electricity Supply (TWh)</t>
  </si>
  <si>
    <t xml:space="preserve">Total potential annual electricity generation per GW installed solar PV systems </t>
  </si>
  <si>
    <t>Average Solar PV System Month /Average Month Usage Multiplier</t>
  </si>
  <si>
    <t>Average Onshore Wind system Month /Average Month Usage Multiplier</t>
  </si>
  <si>
    <t>Total potential annual electricity generation per GW installed onshore wind systems  (Note 10)</t>
  </si>
  <si>
    <t>Average Onshore Wind System Month /Average Month Usage Multiplier</t>
  </si>
  <si>
    <t>Average Offshore Wind System Month /Average Month Usage Multiplier</t>
  </si>
  <si>
    <t>Average Hydroelectric System Month /Average Month Usage Multiplier</t>
  </si>
  <si>
    <t>compared with  "Total Current &amp; Potential Electricity Usage"</t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</si>
  <si>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. Standard solar PV panel used: 390W; 1.84m long x 1.03m wide; solar PV capacity =</t>
    </r>
  </si>
  <si>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. Car parks which are suitable for cost effective solar PV frames comprise at least 2 rows of parking spaces with at </t>
    </r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</si>
  <si>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. Weighted average total width (based upon 3.5 lanes [@3m wide each] per carriageway 3m wide</t>
    </r>
  </si>
  <si>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Weighted average total width (based upon 7m wide carriageways &amp; 2.5m wide emergency lanes) =</t>
    </r>
  </si>
  <si>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. Coefficient of Performance (CoP) for Air Source Heat Pumps =</t>
    </r>
  </si>
  <si>
    <r>
      <rPr>
        <b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. Onshore wind system Capacity Load Factor = </t>
    </r>
  </si>
  <si>
    <t>&amp; large hydroelectric systems =</t>
  </si>
  <si>
    <t>EV battery storage per vehicle (kWh)</t>
  </si>
  <si>
    <t>billion miles pa</t>
  </si>
  <si>
    <t>kWh</t>
  </si>
  <si>
    <t>Total EV battery storage per charge /discharge cycle (GWh)</t>
  </si>
  <si>
    <t>GWh per charge /discharge cycle</t>
  </si>
  <si>
    <t>Installed cost of Domestic roof-mounted solar PV system (£ per kW)</t>
  </si>
  <si>
    <t>billion</t>
  </si>
  <si>
    <t>Installed cost of Commercial roof-mounted solar PV system (£ per kW)</t>
  </si>
  <si>
    <t>Installed cost of car park frame-mounted solar PV system (£ per kW)</t>
  </si>
  <si>
    <t>per kW</t>
  </si>
  <si>
    <t>Installed cost of motorway frame-mounted solar PV system (£ per kW)</t>
  </si>
  <si>
    <t>Total installed cost of motorway frame-mounted solar PV systems (£ billion)</t>
  </si>
  <si>
    <t>Installed cost of dual carriageway frame-mounted solar PV system (£ per kW)</t>
  </si>
  <si>
    <t>Total installed cost of dyual carriageway frame-mounted solar PV systems (£ billion)</t>
  </si>
  <si>
    <t xml:space="preserve">CfD (Contract-for-Difference) pricing tho the National Grid at approx. 5.0 p/kWh. These offshore wind farms are achieving Capacity </t>
  </si>
  <si>
    <t xml:space="preserve">Load Factors of 0.4, so the current Gross Return on Investment = (0.05 x 0.4 x 24 x 365) /(2.5 x 1,000)) x 100% pa = </t>
  </si>
  <si>
    <t>pa</t>
  </si>
  <si>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. Latest UK offshore wind farms have an installed cost of approx. £2.5 million per MW and are supplying generated electricity via </t>
    </r>
  </si>
  <si>
    <r>
      <rPr>
        <b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. National Grid transmission losses applied to electricity generated by existing onshore &amp; offshore wind farms, solar farms</t>
    </r>
  </si>
  <si>
    <t>Community Grid tariifs for solar PV and onshore wind systems connected directly to the Community Grid are based upon providing</t>
  </si>
  <si>
    <t>the generators with the same Gross Return as that achieved by the offshore wind generators i.e. 7.0% pa</t>
  </si>
  <si>
    <t>p /kWh</t>
  </si>
  <si>
    <t>Community Grid Tariff for electricity generated by Domestic roof-mounted solar PV systems (p/kWh; Note 12)</t>
  </si>
  <si>
    <t>Community Grid Tariff for electricity generated by Commercial roof-mounted solar PV systems (p/kWh; Note 12)</t>
  </si>
  <si>
    <t>Community Grid Tariff for electricity generated by car park frame-mounted solar PV systems (p/kWh; Note 12)</t>
  </si>
  <si>
    <t>Community Grid Tariff for electricity generated by motorway frame-mounted solar PV systems (p/kWh; Note 12)</t>
  </si>
  <si>
    <t>Community Grid Tariff for electricity generated by dual carriageway frame-mounted solar PV systems (p/kWh; Note 12)</t>
  </si>
  <si>
    <t xml:space="preserve">Required additional capacity of installed solar PV systems </t>
  </si>
  <si>
    <t xml:space="preserve">Required additional capacity of installed onshore wind systems </t>
  </si>
  <si>
    <t xml:space="preserve">Required additional capacity of installed onshore wind &amp; solar PV systems </t>
  </si>
  <si>
    <t>Cost of additional capacity of installed onshore wind systems per kW</t>
  </si>
  <si>
    <t>Total cost of additional capacity of installed onshore wind systems  (£ billion)</t>
  </si>
  <si>
    <t>Community Grid-selected portfolio of additional capacity of installed solar PV systems</t>
  </si>
  <si>
    <t>Total installed cost of potential Commercial roof-mounted solar PV systems (£ billion)</t>
  </si>
  <si>
    <t>Total installed cost of potential car park frame-mounted solar PV systems (£ billion)</t>
  </si>
  <si>
    <t>Total installed cost of potential Domestic roof-mounted solar PV systems (£ billion)</t>
  </si>
  <si>
    <t xml:space="preserve">Community Commercial Properties </t>
  </si>
  <si>
    <t>Proportion of potential Commercial roof-mounted solar PV system capacity installed (%)</t>
  </si>
  <si>
    <t>Additional capacity of installed Commercial roof-mounted solar PV systems (GW)</t>
  </si>
  <si>
    <t xml:space="preserve">Community Domestic Properties </t>
  </si>
  <si>
    <t>Total cost of additional capacity of installed Commercial roof-mounted solar PV systems  (£ billion)</t>
  </si>
  <si>
    <t>Proportion of potential Domestic roof-mounted solar PV system capacity installed (%)</t>
  </si>
  <si>
    <t>Additional capacity of installed Domestic roof-mounted solar PV systems (GW)</t>
  </si>
  <si>
    <t>Total cost of additional capacity of Domestic roof-mounted solar PV systems  (£ billion)</t>
  </si>
  <si>
    <t>Investment required in additional capacity of installed onshore wind &amp; solar PV systems for Community Grid</t>
  </si>
  <si>
    <t>Total cost of additional capacity of installed onshore wind &amp; solar PV systems for Community Grid (£ billion)</t>
  </si>
  <si>
    <t>Community Grid Weighted Average Tariff for electricity generated by additional onshore wind &amp; solar PV systems (p/kWh; Note 12)</t>
  </si>
  <si>
    <t>Annual potential electricity generation by Domestic roof-mounted solar PV systems (TWh pa)</t>
  </si>
  <si>
    <t>Annual electricity generation by additional Domestic roof-mounted solar PV systems (TWh pa)</t>
  </si>
  <si>
    <t>Annual electricity generation by additional Commercial roof-mounted solar PV systems (TWh pa)</t>
  </si>
  <si>
    <t>Total required annual electricity generation for additional installed solar PV systems</t>
  </si>
  <si>
    <t>Total potential annual electricity generation for additional installed solar PV systems (TWh)</t>
  </si>
  <si>
    <t>Total potential annual electricity generation for additional installed onshore wind systems (TWh)</t>
  </si>
  <si>
    <t>Total potential annual electricity generation for additional installed solar PV &amp; onshore wind systems (TWh)</t>
  </si>
  <si>
    <t>Total potential annual electricity generation Surplus /[Shortfall]for additional installed solar PV &amp; onshore wind systems (TWh)</t>
  </si>
  <si>
    <t>Total required annual electricity generation for additional installed onshore wind systems (TWh)</t>
  </si>
  <si>
    <t>Required annual electricity generation by additional Domestic roof-mounted solar PV systems (TWh pa)</t>
  </si>
  <si>
    <t>Total annual electricity generation for existing installed roof-mounted solar PV systems  (TWh)</t>
  </si>
  <si>
    <t>Total annual electricity generation for existing installed large ground-mounted solar PV systems (i.e. solar farms; TWh)</t>
  </si>
  <si>
    <t>Total annual electricity generation for existing installed onshore wind systems (TWh)</t>
  </si>
  <si>
    <t>Total annual electricity generation for existing installed offshore wind systems  (TWh)</t>
  </si>
  <si>
    <t>Total annual electricity generation for existing installed hydroelectric systems  (TWh)</t>
  </si>
  <si>
    <t>Total annual electricity generation for existing installed solar PV, onshore &amp; offshore wind and hydrolelectric systems (TWh)</t>
  </si>
  <si>
    <t>National Grid transmission losses (TWh; Note 11)</t>
  </si>
  <si>
    <t>Total annual electricity generation for existing installed solar, wind &amp; hydrolelectric systems less National Grid transmission losses (TWh)</t>
  </si>
  <si>
    <t>Required total annual electricity generation for additional installed solar PV &amp; onshore wind systems (TWh)</t>
  </si>
  <si>
    <t>Current National Grid Supplier Domestic Average Electricity Tariff (p /kWh)</t>
  </si>
  <si>
    <t>Current National Grid Supplier Commercial Average Electricity Tariff (p /kWh)</t>
  </si>
  <si>
    <t>Total Current &amp; Potential Electricity Usage (TWh)</t>
  </si>
  <si>
    <t>Total Current &amp; Potential Domestic Electricity Usage (TWh; Note 13)</t>
  </si>
  <si>
    <t>air source heat pumps in Domestic properties &amp; EV cars.</t>
  </si>
  <si>
    <t>air source heat pumps in Commercial properties and EV LGVs, HGV, buses &amp; coaches.</t>
  </si>
  <si>
    <t>Total Current &amp; Potential Commercial Electricity Usage (TWh; Note 14)</t>
  </si>
  <si>
    <t>billion pa</t>
  </si>
  <si>
    <t>Total Annual Future Cost of Current &amp; Potential Electricity Usage by Domestic &amp; Commercial Customers  (£ billion pa)</t>
  </si>
  <si>
    <t>based upon 100% supply by National Grid suppliers at current Grid supplier tariffs</t>
  </si>
  <si>
    <t>based upon 100% supply by Community Grid at Weighted Average Tariff</t>
  </si>
  <si>
    <t>Electricity Usage Cost Saving: Community Grid vs National Grid supply (%)</t>
  </si>
  <si>
    <t>Greater Manchester</t>
  </si>
  <si>
    <t>Manchester Art Gallery</t>
  </si>
  <si>
    <t>M2 3JL</t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</si>
  <si>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. Average car park space = 5.0m x 2.5m; Average internal cark access road width = 6.0m</t>
    </r>
  </si>
  <si>
    <t>Total EV cost (£ billion)</t>
  </si>
  <si>
    <r>
      <rPr>
        <b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. Current &amp; Potential Domestic electricity usage comprises current Domestic electricity supply + potentail electricity required for</t>
    </r>
  </si>
  <si>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. Current &amp; Potential Commercial electricity usage comprises current Commercial electricity supply + potentail electricity required for</t>
    </r>
  </si>
  <si>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. Annual Rental Charge on EV achieves a Gross Return = </t>
    </r>
  </si>
  <si>
    <t>Average speed of EVs (mph)</t>
  </si>
  <si>
    <t>Proportion of year for which EV is used as means of road transportation (hours pa)</t>
  </si>
  <si>
    <t>Annual hourly EV usage as means of road transportation per vehicle (hours pa)</t>
  </si>
  <si>
    <t>Total Annual hourly EV usage as means of road transportation (billion hours pa)</t>
  </si>
  <si>
    <t>mph</t>
  </si>
  <si>
    <t>hours pa</t>
  </si>
  <si>
    <t>Annual EV rental charge per vehicle (£ pa)</t>
  </si>
  <si>
    <t>Annual total EV rental charge (£ billion pa)</t>
  </si>
  <si>
    <t>Community Grid Weighted Average Tariff for electricity generated by additional onshore wind &amp; solar PV systems.</t>
  </si>
  <si>
    <r>
      <rPr>
        <b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. Electricity supplied by EV battery charge /discharge cycle via V2H, V2B or V2B within Community Grid area is valued using</t>
    </r>
  </si>
  <si>
    <t>Available EV battery charge /discharge cycles pa to supply electricity via V2H, V2B or V2B within Community Grid area</t>
  </si>
  <si>
    <t>Used EV battery charge /discharge cycles pa to supply electricity via V2H, V2B or V2B within Community Grid area</t>
  </si>
  <si>
    <t>Annual total net (i.e. after deducting value of V2H, V2B &amp; V2G electricity supply) EV rental charge (£ billion pa)</t>
  </si>
  <si>
    <t>Annual availability of EV battery charge /discharge cycles to supply electricity via V2H, V2B or V2G within Community Grid area</t>
  </si>
  <si>
    <t>Annual usage of available EV battery charge /discharge cycles to supply electricity via V2H, V2B or V2G within Community Grid area</t>
  </si>
  <si>
    <t>Annual available electricity supply from EV battery charge /discharge cycle via V2H, V2B or V2G within Community Grid area (TWh pa)</t>
  </si>
  <si>
    <t>Annual used electricity supply from EV battery charge /discharge cycle via V2H, V2B or V2G within Community Grid area (TWh pa)</t>
  </si>
  <si>
    <t>Value of electricity supplied by EV battery charge /discharge cycle via V2H, V2B or V2G within Community Grid area (£ billion pa; Note 16)</t>
  </si>
  <si>
    <t>Annual net (i.e. after deducting value of V2H, V2B &amp; V2G electricity supply) EV rental charge per vehicle (£ pa)</t>
  </si>
  <si>
    <r>
      <t xml:space="preserve">Total potential electricity required for 100% Air Source Heat Pumps for space heating &amp; hot water (TWh pa; </t>
    </r>
    <r>
      <rPr>
        <b/>
        <sz val="11"/>
        <color theme="1"/>
        <rFont val="Calibri"/>
        <family val="2"/>
        <scheme val="minor"/>
      </rPr>
      <t>Note 9</t>
    </r>
    <r>
      <rPr>
        <sz val="11"/>
        <color theme="1"/>
        <rFont val="Calibri"/>
        <family val="2"/>
        <scheme val="minor"/>
      </rPr>
      <t>)</t>
    </r>
  </si>
  <si>
    <r>
      <t xml:space="preserve">Total net heat energy generated by 100% Air Source Heat Pumps for space heating &amp; hot water (TWh pa; </t>
    </r>
    <r>
      <rPr>
        <b/>
        <sz val="11"/>
        <color theme="1"/>
        <rFont val="Calibri"/>
        <family val="2"/>
        <scheme val="minor"/>
      </rPr>
      <t>Note 9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</si>
  <si>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. Net heat energy generated by 100% Air Source Heat Pumps for space heating &amp; hot water is valued using</t>
    </r>
  </si>
  <si>
    <r>
      <t xml:space="preserve">Value of net heat energy generated by 100% Air Source Heat Pumps for space heating &amp; hot water (£ billion pa; </t>
    </r>
    <r>
      <rPr>
        <b/>
        <sz val="11"/>
        <color theme="1"/>
        <rFont val="Calibri"/>
        <family val="2"/>
        <scheme val="minor"/>
      </rPr>
      <t>Note 17</t>
    </r>
    <r>
      <rPr>
        <sz val="11"/>
        <color theme="1"/>
        <rFont val="Calibri"/>
        <family val="2"/>
        <scheme val="minor"/>
      </rPr>
      <t>)</t>
    </r>
  </si>
  <si>
    <t xml:space="preserve">Total installed cost of 100% Air Source Heat Pumps (£ billion) </t>
  </si>
  <si>
    <r>
      <t xml:space="preserve">Value of net heat energy generated by average Air Source Heat Pumps for space heating &amp; hot water (£ pa; </t>
    </r>
    <r>
      <rPr>
        <b/>
        <sz val="11"/>
        <color theme="1"/>
        <rFont val="Calibri"/>
        <family val="2"/>
        <scheme val="minor"/>
      </rPr>
      <t>Note 17</t>
    </r>
    <r>
      <rPr>
        <sz val="11"/>
        <color theme="1"/>
        <rFont val="Calibri"/>
        <family val="2"/>
        <scheme val="minor"/>
      </rPr>
      <t>)</t>
    </r>
  </si>
  <si>
    <t>Annual gross return generated by average Air Source Heat Pump (% pa)</t>
  </si>
  <si>
    <t xml:space="preserve">billion </t>
  </si>
  <si>
    <t>Sustainable Community Fund</t>
  </si>
  <si>
    <t>Investments</t>
  </si>
  <si>
    <t xml:space="preserve">Total cost of additional capacity of installed onshore wind systems </t>
  </si>
  <si>
    <t xml:space="preserve">Total cost of additional capacity of installed Commercial roof-mounted solar PV systems </t>
  </si>
  <si>
    <t xml:space="preserve">Total cost of additional capacity of Domestic roof-mounted solar PV systems </t>
  </si>
  <si>
    <t xml:space="preserve">Total installed cost of 100% Air Source Heat Pumps in Domestic Properties </t>
  </si>
  <si>
    <t xml:space="preserve">Total installed cost of 100% Air Source Heat Pumps in Commercial Properties </t>
  </si>
  <si>
    <t>% pa</t>
  </si>
  <si>
    <t>£ billion pa</t>
  </si>
  <si>
    <t>Gross Annual Return</t>
  </si>
  <si>
    <t>£ billion</t>
  </si>
  <si>
    <t>Total EV cost - Cars</t>
  </si>
  <si>
    <t>Total EV cost - LGVs</t>
  </si>
  <si>
    <t>Total EV cost - HGVs</t>
  </si>
  <si>
    <t>Total EV cost - Buses &amp; Coaches</t>
  </si>
  <si>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. Average EV costs are based upon future achievable costs resulting from economies of scale of manufacturing combined with </t>
    </r>
  </si>
  <si>
    <t>Vans /LGVs</t>
  </si>
  <si>
    <t>EV cost per vehicle (£; Note 18)</t>
  </si>
  <si>
    <t>Fuel efficiency of average on-road petrol /diesel vehicle (miles per gallon mpg; Note 19)</t>
  </si>
  <si>
    <t>per gallon</t>
  </si>
  <si>
    <r>
      <rPr>
        <b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. Average age of on-road petrol /diesel cars inUK is 10 years old.</t>
    </r>
  </si>
  <si>
    <r>
      <rPr>
        <b/>
        <sz val="11"/>
        <color theme="1"/>
        <rFont val="Calibri"/>
        <family val="2"/>
        <scheme val="minor"/>
      </rPr>
      <t>20.</t>
    </r>
    <r>
      <rPr>
        <sz val="11"/>
        <color theme="1"/>
        <rFont val="Calibri"/>
        <family val="2"/>
        <scheme val="minor"/>
      </rPr>
      <t xml:space="preserve"> Weighted average price of petrol &amp; diesel =</t>
    </r>
  </si>
  <si>
    <t>Average annual cost of petrol /diesel for on-road vehicle (£ pa; Note 20)</t>
  </si>
  <si>
    <t>mpg</t>
  </si>
  <si>
    <t>Total annual cost of petrol /diesel for on-road vehicles (£ billion pa)</t>
  </si>
  <si>
    <t>Annual net EV rental charge + Average annual cost of electricity per vehicle (£ pa)</t>
  </si>
  <si>
    <t>Average annual cost of electricity for EV based upon Community Grid Weighted Average Tariff for electricity per vehicle (£ pa)</t>
  </si>
  <si>
    <t>Total annual net EV rental charge + Average annual cost of electricity (£ billion pa)</t>
  </si>
  <si>
    <t>Total annual cost of electricity for EV based upon Community Grid Weighted Average Tariff for electricity (£ billion pa)</t>
  </si>
  <si>
    <t>developments in the design of the main components (including batteries, electric motors and vehicle control units)</t>
  </si>
  <si>
    <t>plus benefit of Community purchasing power.</t>
  </si>
  <si>
    <r>
      <rPr>
        <b/>
        <sz val="11"/>
        <color theme="1"/>
        <rFont val="Calibri"/>
        <family val="2"/>
        <scheme val="minor"/>
      </rPr>
      <t>21.</t>
    </r>
    <r>
      <rPr>
        <sz val="11"/>
        <color theme="1"/>
        <rFont val="Calibri"/>
        <family val="2"/>
        <scheme val="minor"/>
      </rPr>
      <t xml:space="preserve"> Average air source heat pump installed costs are based upon future achievable costs resulting from economies of scale of</t>
    </r>
  </si>
  <si>
    <r>
      <t xml:space="preserve">Average installed cost of Air Source Heat Pump (£; </t>
    </r>
    <r>
      <rPr>
        <b/>
        <sz val="11"/>
        <color theme="1"/>
        <rFont val="Calibri"/>
        <family val="2"/>
        <scheme val="minor"/>
      </rPr>
      <t>Note 21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</si>
  <si>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Average installed cost of Air Source Heat Pump (£; </t>
    </r>
    <r>
      <rPr>
        <b/>
        <sz val="11"/>
        <color theme="1"/>
        <rFont val="Calibri"/>
        <family val="2"/>
        <scheme val="minor"/>
      </rPr>
      <t>Note 21)</t>
    </r>
    <r>
      <rPr>
        <sz val="11"/>
        <color theme="1"/>
        <rFont val="Calibri"/>
        <family val="2"/>
        <scheme val="minor"/>
      </rPr>
      <t xml:space="preserve"> </t>
    </r>
  </si>
  <si>
    <t>D</t>
  </si>
  <si>
    <t>Wind turbine</t>
  </si>
  <si>
    <t>capacity (MW)</t>
  </si>
  <si>
    <t xml:space="preserve">No. of wind </t>
  </si>
  <si>
    <t>turbines required</t>
  </si>
  <si>
    <r>
      <rPr>
        <b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. Economic lives of wind turbines, solar panels, EVs and air source heat pumps are 25, 40 - 50, 20 and 20 years respectively.</t>
    </r>
  </si>
  <si>
    <t>Sustainable Community Fund Performance</t>
  </si>
  <si>
    <t>Year</t>
  </si>
  <si>
    <t>years</t>
  </si>
  <si>
    <r>
      <rPr>
        <b/>
        <sz val="11"/>
        <color theme="1"/>
        <rFont val="Calibri"/>
        <family val="2"/>
        <scheme val="minor"/>
      </rPr>
      <t>23.</t>
    </r>
    <r>
      <rPr>
        <sz val="11"/>
        <color theme="1"/>
        <rFont val="Calibri"/>
        <family val="2"/>
        <scheme val="minor"/>
      </rPr>
      <t xml:space="preserve"> Investment period with equal annual investment =</t>
    </r>
  </si>
  <si>
    <t>Investment repayment profile (% pa)</t>
  </si>
  <si>
    <t>Outstanding investment at year end (£ billion)</t>
  </si>
  <si>
    <t>Annual Investment (£ billion; Note 23)</t>
  </si>
  <si>
    <t>Cumulative investment (£ billion)</t>
  </si>
  <si>
    <t>Cumulative investment repayment (£ billion)</t>
  </si>
  <si>
    <t>Annual interest payment (£ billion; Note 24)</t>
  </si>
  <si>
    <t>Annual investment repayment (£ billion)</t>
  </si>
  <si>
    <t>Annual investment repayment + Annual interest payment  (£ billion)</t>
  </si>
  <si>
    <t>Gross annual return on investment (£ billion; Note 25)</t>
  </si>
  <si>
    <r>
      <rPr>
        <b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. Annual increase in Gross Return on Investment =</t>
    </r>
  </si>
  <si>
    <t>Gross annual return on investment (% pa; Note 25)</t>
  </si>
  <si>
    <t>Cumulative Annual cash surplus  (£ billion)</t>
  </si>
  <si>
    <t>Community Grid Weighted Average Tariff for electricity generated by additional onshore wind systems (p/kWh; Note 12)</t>
  </si>
  <si>
    <t>Community Grid Weighted Average Tariff for electricity generated by additional commercial solar PV systems (p/kWh; Note 12)</t>
  </si>
  <si>
    <t>Community Grid Weighted Average Tariff for electricity generated by additional domestic solar PV systems (p/kWh; Note 12)</t>
  </si>
  <si>
    <t>Sustainable Community Fund Annual Operating Costs (£ billion pa; Note 26)</t>
  </si>
  <si>
    <r>
      <rPr>
        <b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>. Sustainable Community Fund annual operating costs =</t>
    </r>
  </si>
  <si>
    <t>Net annual return on investment (£ billion)</t>
  </si>
  <si>
    <t>pa x [Gross Annual Return on Investment]</t>
  </si>
  <si>
    <t>(comprising insurance, maintenance &amp; operational management of Sustainable Community Fund investments)</t>
  </si>
  <si>
    <t>Net annual return on investment (% pa)</t>
  </si>
  <si>
    <r>
      <rPr>
        <b/>
        <sz val="11"/>
        <color theme="1"/>
        <rFont val="Calibri"/>
        <family val="2"/>
        <scheme val="minor"/>
      </rPr>
      <t>24.</t>
    </r>
    <r>
      <rPr>
        <sz val="11"/>
        <color theme="1"/>
        <rFont val="Calibri"/>
        <family val="2"/>
        <scheme val="minor"/>
      </rPr>
      <t xml:space="preserve"> Interest Rate paid on outstanding investment in Sustainable Community Fund  =</t>
    </r>
  </si>
  <si>
    <r>
      <rPr>
        <b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. Annual increase in Interest Rate paid on outstanding investment in Sustainable Community Fund  =</t>
    </r>
  </si>
  <si>
    <t>Annual Interest Rate (% pa; Notes 24 &amp; 27)</t>
  </si>
  <si>
    <t>Annual interest payment (£ billion)</t>
  </si>
  <si>
    <r>
      <rPr>
        <b/>
        <sz val="11"/>
        <color theme="1"/>
        <rFont val="Calibri"/>
        <family val="2"/>
        <scheme val="minor"/>
      </rPr>
      <t>24.</t>
    </r>
    <r>
      <rPr>
        <sz val="11"/>
        <color theme="1"/>
        <rFont val="Calibri"/>
        <family val="2"/>
        <scheme val="minor"/>
      </rPr>
      <t xml:space="preserve"> Initial Interest Rate paid on outstanding investment in Sustainable Community Fund  =</t>
    </r>
  </si>
  <si>
    <t>Annual cash surplus = [Net annual return on investment] - [Annual investment repayment + Annual interest payment]  (£ billion)</t>
  </si>
  <si>
    <t>Annual Net Cash Flow = Net Annual Return on Investment  - Annual Investment (£ billion)</t>
  </si>
  <si>
    <t>Pre-Tax Internal Rate of Return (IRR; % pa)</t>
  </si>
  <si>
    <t>Loft insulation (200 mm)</t>
  </si>
  <si>
    <t>per sqm</t>
  </si>
  <si>
    <t>Cavity wall insulation</t>
  </si>
  <si>
    <t>Secondary glazing</t>
  </si>
  <si>
    <t>Solid wall insulation (external)</t>
  </si>
  <si>
    <t>Window area to floor area ratio</t>
  </si>
  <si>
    <t>Average domestic storey height (m)</t>
  </si>
  <si>
    <r>
      <t xml:space="preserve">Average window area (sqm; </t>
    </r>
    <r>
      <rPr>
        <b/>
        <sz val="11"/>
        <color theme="1"/>
        <rFont val="Calibri"/>
        <family val="2"/>
        <scheme val="minor"/>
      </rPr>
      <t>Note 28)</t>
    </r>
  </si>
  <si>
    <t>Proportion of properties without loft insulation (%)</t>
  </si>
  <si>
    <t>Number of properties with lofts (million)</t>
  </si>
  <si>
    <t>Number of properties with cavity walls (million)</t>
  </si>
  <si>
    <t>Proportion of properties without cavity wall insulation (%)</t>
  </si>
  <si>
    <t>Number of properties with solid walls (million)</t>
  </si>
  <si>
    <t>Proportion of properties without solid wall insulation (%)</t>
  </si>
  <si>
    <t>Proportion of properties without double or secondary glazing (%)</t>
  </si>
  <si>
    <t>Number of properties without double or secondary glazing (million)</t>
  </si>
  <si>
    <r>
      <t xml:space="preserve">Total insulation cost for properties without loft insulation (£ billion;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</si>
  <si>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Average wall area (sqm;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>)</t>
    </r>
  </si>
  <si>
    <r>
      <t xml:space="preserve">Total insulation cost for properties without cavity wall insulation (£ billion;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</si>
  <si>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Total insulation cost for properties without solid wall insulation (£ billion;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</si>
  <si>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Total secondary glazing cost for properties without double or secondary glazing (£ billion;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 xml:space="preserve">) </t>
    </r>
  </si>
  <si>
    <t xml:space="preserve">Total uninsulated area of loft space (billion sqm) </t>
  </si>
  <si>
    <t xml:space="preserve">Total uninsulated area of cavity wall space (billion sqm) </t>
  </si>
  <si>
    <t xml:space="preserve">Total uninsulated area of solid wall space (billion sqm) </t>
  </si>
  <si>
    <r>
      <t xml:space="preserve">Total window area without double or secondary glazing (billion sqm;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>)</t>
    </r>
  </si>
  <si>
    <t>Total cost of loft, cavity wall and solid wall insulation and secondary glazing (£ billion)</t>
  </si>
  <si>
    <t>billion sqm</t>
  </si>
  <si>
    <t>sqm</t>
  </si>
  <si>
    <r>
      <rPr>
        <b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. No. of years for repayment with zero interest payments of installed cost of insulation &amp; secondary glazing =</t>
    </r>
  </si>
  <si>
    <r>
      <rPr>
        <b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>. Installed cost of insulation &amp; secondary glazing (i.e. materials &amp; labour)</t>
    </r>
  </si>
  <si>
    <t>Total insulation cost for domestic properties without loft insulation</t>
  </si>
  <si>
    <t>Total insulation cost for domestic properties without cavity wall insulation</t>
  </si>
  <si>
    <t>Total insulation cost for domestic properties without solid wall insulation</t>
  </si>
  <si>
    <t>Total secondary glazing cost for domestic properties without double or secondary glazing</t>
  </si>
  <si>
    <r>
      <t xml:space="preserve">Average insulation cost per property for properties without loft insulation (£ thousand per property;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</si>
  <si>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Average insulation cost per property for properties without cavity wall insulation (£ thousand per property;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</si>
  <si>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Average insulation cost per property for properties without solid insulation (£ thousand per property;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</si>
  <si>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Average secondary glazing cost per property for properties without double or secondary glazing (£ thousand per property; </t>
    </r>
    <r>
      <rPr>
        <b/>
        <sz val="11"/>
        <color theme="1"/>
        <rFont val="Calibri"/>
        <family val="2"/>
        <scheme val="minor"/>
      </rPr>
      <t>Note 28</t>
    </r>
    <r>
      <rPr>
        <sz val="11"/>
        <color theme="1"/>
        <rFont val="Calibri"/>
        <family val="2"/>
        <scheme val="minor"/>
      </rPr>
      <t xml:space="preserve">) </t>
    </r>
  </si>
  <si>
    <t>thousand per property</t>
  </si>
  <si>
    <r>
      <t xml:space="preserve">Average annual charge per property for insulation installation in properties without loft insulation (£ pa per property; </t>
    </r>
    <r>
      <rPr>
        <b/>
        <sz val="11"/>
        <color theme="1"/>
        <rFont val="Calibri"/>
        <family val="2"/>
        <scheme val="minor"/>
      </rPr>
      <t>Note 29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</si>
  <si>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Average annual charge per property for insulation installation in properties without cavity wall insulation (£ pa per property; </t>
    </r>
    <r>
      <rPr>
        <b/>
        <sz val="11"/>
        <color theme="1"/>
        <rFont val="Calibri"/>
        <family val="2"/>
        <scheme val="minor"/>
      </rPr>
      <t>Note 29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</si>
  <si>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Average annual charge per property for insulation installation in properties without solid wall insulation (£ pa per property; </t>
    </r>
    <r>
      <rPr>
        <b/>
        <sz val="11"/>
        <color theme="1"/>
        <rFont val="Calibri"/>
        <family val="2"/>
        <scheme val="minor"/>
      </rPr>
      <t>Note 29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</si>
  <si>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Average annual charge per property for secondary glazing installation in properties without double or secondary glazing (£ pa per property; </t>
    </r>
    <r>
      <rPr>
        <b/>
        <sz val="11"/>
        <color theme="1"/>
        <rFont val="Calibri"/>
        <family val="2"/>
        <scheme val="minor"/>
      </rPr>
      <t>Note 29</t>
    </r>
    <r>
      <rPr>
        <sz val="11"/>
        <color theme="1"/>
        <rFont val="Calibri"/>
        <family val="2"/>
        <scheme val="minor"/>
      </rPr>
      <t xml:space="preserve">) </t>
    </r>
  </si>
  <si>
    <t xml:space="preserve">manufacturing combined with developments in the design of the main components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</si>
</sst>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"/>
    <numFmt numFmtId="168" formatCode="0.0%"/>
    <numFmt numFmtId="169" formatCode="#,##0.0"/>
    <numFmt numFmtId="170" formatCode="_-* #,##0.0000_-;\-* #,##0.0000_-;_-* &quot;-&quot;??_-;_-@_-"/>
    <numFmt numFmtId="171" formatCode="_-* #,##0.0_-;\-* #,##0.0_-;_-* &quot;-&quot;?_-;_-@_-"/>
    <numFmt numFmtId="172" formatCode="_-* #,##0.00_-;\-* #,##0.00_-;_-* &quot;-&quot;?_-;_-@_-"/>
    <numFmt numFmtId="173" formatCode="&quot;£&quot;#,##0.0"/>
    <numFmt numFmtId="174" formatCode="&quot;£&quot;#,##0"/>
    <numFmt numFmtId="175" formatCode="&quot;£&quot;#,##0.00"/>
    <numFmt numFmtId="176" formatCode="&quot;£&quot;#,##0.000"/>
    <numFmt numFmtId="177" formatCode="#,##0.000"/>
    <numFmt numFmtId="178" formatCode="_-* #,##0.000_-;\-* #,##0.000_-;_-* &quot;-&quot;??_-;_-@_-"/>
    <numFmt numFmtId="179" formatCode="_-&quot;£&quot;* #,##0.0_-;\-&quot;£&quot;* #,##0.0_-;_-&quot;£&quot;* &quot;-&quot;??_-;_-@_-"/>
    <numFmt numFmtId="180" formatCode="_-&quot;£&quot;* #,##0_-;\-&quot;£&quot;* #,##0_-;_-&quot;£&quot;* &quot;-&quot;??_-;_-@_-"/>
    <numFmt numFmtId="181" formatCode="_-&quot;£&quot;* #,##0.000_-;\-&quot;£&quot;* #,##0.000_-;_-&quot;£&quot;* &quot;-&quot;??_-;_-@_-"/>
    <numFmt numFmtId="182" formatCode="0.0000"/>
    <numFmt numFmtId="183" formatCode="0.0000%"/>
    <numFmt numFmtId="184" formatCode="#,##0.0;[Red]\-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166" fontId="0" fillId="0" borderId="0" xfId="0" applyNumberFormat="1"/>
    <xf numFmtId="2" fontId="0" fillId="0" borderId="0" xfId="0" applyNumberFormat="1"/>
    <xf numFmtId="3" fontId="0" fillId="0" borderId="0" xfId="1" applyNumberFormat="1" applyFont="1"/>
    <xf numFmtId="3" fontId="0" fillId="0" borderId="0" xfId="0" applyNumberFormat="1"/>
    <xf numFmtId="167" fontId="0" fillId="0" borderId="0" xfId="0" applyNumberFormat="1"/>
    <xf numFmtId="9" fontId="0" fillId="0" borderId="0" xfId="2" applyFont="1"/>
    <xf numFmtId="168" fontId="0" fillId="0" borderId="0" xfId="2" applyNumberFormat="1" applyFont="1"/>
    <xf numFmtId="169" fontId="0" fillId="0" borderId="0" xfId="1" applyNumberFormat="1" applyFont="1"/>
    <xf numFmtId="164" fontId="0" fillId="0" borderId="0" xfId="0" applyNumberFormat="1"/>
    <xf numFmtId="169" fontId="2" fillId="0" borderId="0" xfId="1" applyNumberFormat="1" applyFont="1"/>
    <xf numFmtId="164" fontId="2" fillId="0" borderId="0" xfId="0" applyNumberFormat="1" applyFont="1"/>
    <xf numFmtId="0" fontId="0" fillId="0" borderId="0" xfId="0" applyFont="1"/>
    <xf numFmtId="0" fontId="4" fillId="0" borderId="0" xfId="0" applyFont="1"/>
    <xf numFmtId="170" fontId="2" fillId="0" borderId="0" xfId="0" applyNumberFormat="1" applyFont="1"/>
    <xf numFmtId="171" fontId="2" fillId="0" borderId="0" xfId="0" applyNumberFormat="1" applyFont="1"/>
    <xf numFmtId="172" fontId="2" fillId="0" borderId="0" xfId="0" applyNumberFormat="1" applyFont="1"/>
    <xf numFmtId="0" fontId="4" fillId="0" borderId="0" xfId="0" applyFont="1" applyAlignment="1">
      <alignment horizontal="left" vertical="center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1" applyNumberFormat="1" applyFont="1"/>
    <xf numFmtId="0" fontId="5" fillId="0" borderId="0" xfId="0" applyFont="1" applyAlignment="1">
      <alignment horizontal="left" vertical="center" indent="2"/>
    </xf>
    <xf numFmtId="43" fontId="0" fillId="0" borderId="0" xfId="0" applyNumberFormat="1" applyFont="1"/>
    <xf numFmtId="2" fontId="0" fillId="0" borderId="0" xfId="0" applyNumberFormat="1" applyFont="1"/>
    <xf numFmtId="0" fontId="3" fillId="0" borderId="0" xfId="0" applyFont="1" applyAlignment="1">
      <alignment horizontal="right"/>
    </xf>
    <xf numFmtId="167" fontId="2" fillId="0" borderId="0" xfId="0" applyNumberFormat="1" applyFont="1"/>
    <xf numFmtId="165" fontId="2" fillId="0" borderId="0" xfId="0" applyNumberFormat="1" applyFont="1"/>
    <xf numFmtId="38" fontId="2" fillId="0" borderId="0" xfId="0" applyNumberFormat="1" applyFont="1"/>
    <xf numFmtId="174" fontId="2" fillId="0" borderId="0" xfId="1" applyNumberFormat="1" applyFont="1"/>
    <xf numFmtId="173" fontId="2" fillId="0" borderId="0" xfId="1" applyNumberFormat="1" applyFont="1"/>
    <xf numFmtId="167" fontId="2" fillId="0" borderId="0" xfId="1" applyNumberFormat="1" applyFont="1"/>
    <xf numFmtId="0" fontId="6" fillId="0" borderId="0" xfId="0" applyFont="1" applyAlignment="1">
      <alignment horizontal="right"/>
    </xf>
    <xf numFmtId="174" fontId="2" fillId="0" borderId="0" xfId="0" applyNumberFormat="1" applyFont="1"/>
    <xf numFmtId="169" fontId="2" fillId="0" borderId="0" xfId="0" applyNumberFormat="1" applyFont="1"/>
    <xf numFmtId="168" fontId="2" fillId="0" borderId="0" xfId="2" applyNumberFormat="1" applyFont="1"/>
    <xf numFmtId="10" fontId="2" fillId="0" borderId="0" xfId="2" applyNumberFormat="1" applyFont="1"/>
    <xf numFmtId="174" fontId="3" fillId="0" borderId="0" xfId="0" applyNumberFormat="1" applyFont="1"/>
    <xf numFmtId="167" fontId="5" fillId="0" borderId="0" xfId="1" applyNumberFormat="1" applyFont="1"/>
    <xf numFmtId="167" fontId="1" fillId="0" borderId="0" xfId="1" applyNumberFormat="1" applyFont="1"/>
    <xf numFmtId="175" fontId="5" fillId="0" borderId="0" xfId="1" applyNumberFormat="1" applyFont="1"/>
    <xf numFmtId="173" fontId="5" fillId="0" borderId="0" xfId="1" applyNumberFormat="1" applyFont="1"/>
    <xf numFmtId="9" fontId="5" fillId="0" borderId="0" xfId="2" applyFont="1"/>
    <xf numFmtId="169" fontId="0" fillId="0" borderId="0" xfId="0" applyNumberFormat="1"/>
    <xf numFmtId="4" fontId="0" fillId="0" borderId="0" xfId="1" applyNumberFormat="1" applyFont="1"/>
    <xf numFmtId="4" fontId="2" fillId="0" borderId="0" xfId="1" applyNumberFormat="1" applyFont="1"/>
    <xf numFmtId="175" fontId="2" fillId="0" borderId="0" xfId="1" applyNumberFormat="1" applyFont="1"/>
    <xf numFmtId="43" fontId="2" fillId="0" borderId="0" xfId="1" applyNumberFormat="1" applyFont="1"/>
    <xf numFmtId="4" fontId="0" fillId="0" borderId="0" xfId="0" applyNumberFormat="1"/>
    <xf numFmtId="177" fontId="0" fillId="0" borderId="0" xfId="0" applyNumberFormat="1"/>
    <xf numFmtId="176" fontId="2" fillId="0" borderId="0" xfId="1" applyNumberFormat="1" applyFont="1"/>
    <xf numFmtId="43" fontId="2" fillId="0" borderId="0" xfId="0" applyNumberFormat="1" applyFont="1"/>
    <xf numFmtId="178" fontId="2" fillId="0" borderId="0" xfId="0" applyNumberFormat="1" applyFont="1"/>
    <xf numFmtId="177" fontId="2" fillId="0" borderId="0" xfId="1" applyNumberFormat="1" applyFont="1"/>
    <xf numFmtId="175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173" fontId="3" fillId="0" borderId="0" xfId="0" applyNumberFormat="1" applyFont="1"/>
    <xf numFmtId="43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3" fontId="0" fillId="2" borderId="0" xfId="0" applyNumberFormat="1" applyFill="1"/>
    <xf numFmtId="166" fontId="0" fillId="2" borderId="0" xfId="0" applyNumberFormat="1" applyFill="1"/>
    <xf numFmtId="0" fontId="0" fillId="2" borderId="0" xfId="0" applyFill="1" applyAlignment="1">
      <alignment horizontal="right"/>
    </xf>
    <xf numFmtId="43" fontId="0" fillId="2" borderId="0" xfId="0" applyNumberFormat="1" applyFill="1"/>
    <xf numFmtId="1" fontId="0" fillId="2" borderId="0" xfId="0" applyNumberFormat="1" applyFont="1" applyFill="1"/>
    <xf numFmtId="166" fontId="0" fillId="2" borderId="0" xfId="0" applyNumberFormat="1" applyFont="1" applyFill="1"/>
    <xf numFmtId="165" fontId="1" fillId="2" borderId="0" xfId="1" applyNumberFormat="1" applyFont="1" applyFill="1"/>
    <xf numFmtId="165" fontId="0" fillId="2" borderId="0" xfId="1" applyNumberFormat="1" applyFont="1" applyFill="1"/>
    <xf numFmtId="44" fontId="2" fillId="0" borderId="0" xfId="0" applyNumberFormat="1" applyFont="1"/>
    <xf numFmtId="179" fontId="2" fillId="0" borderId="0" xfId="0" applyNumberFormat="1" applyFont="1"/>
    <xf numFmtId="180" fontId="2" fillId="0" borderId="0" xfId="0" applyNumberFormat="1" applyFont="1"/>
    <xf numFmtId="164" fontId="2" fillId="0" borderId="0" xfId="1" applyNumberFormat="1" applyFont="1"/>
    <xf numFmtId="165" fontId="2" fillId="0" borderId="0" xfId="1" applyNumberFormat="1" applyFont="1"/>
    <xf numFmtId="1" fontId="2" fillId="0" borderId="0" xfId="0" applyNumberFormat="1" applyFont="1"/>
    <xf numFmtId="44" fontId="2" fillId="0" borderId="0" xfId="1" applyNumberFormat="1" applyFont="1"/>
    <xf numFmtId="179" fontId="2" fillId="0" borderId="0" xfId="1" applyNumberFormat="1" applyFont="1"/>
    <xf numFmtId="180" fontId="2" fillId="0" borderId="0" xfId="1" applyNumberFormat="1" applyFont="1"/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2" fillId="2" borderId="0" xfId="1" applyNumberFormat="1" applyFont="1" applyFill="1"/>
    <xf numFmtId="0" fontId="0" fillId="0" borderId="0" xfId="0" applyAlignment="1">
      <alignment horizontal="left"/>
    </xf>
    <xf numFmtId="2" fontId="2" fillId="0" borderId="0" xfId="1" applyNumberFormat="1" applyFont="1"/>
    <xf numFmtId="165" fontId="2" fillId="3" borderId="0" xfId="1" applyNumberFormat="1" applyFont="1" applyFill="1"/>
    <xf numFmtId="43" fontId="2" fillId="3" borderId="0" xfId="1" applyNumberFormat="1" applyFont="1" applyFill="1"/>
    <xf numFmtId="168" fontId="2" fillId="3" borderId="0" xfId="2" applyNumberFormat="1" applyFont="1" applyFill="1"/>
    <xf numFmtId="0" fontId="0" fillId="3" borderId="0" xfId="0" applyFill="1"/>
    <xf numFmtId="170" fontId="0" fillId="0" borderId="0" xfId="0" applyNumberFormat="1"/>
    <xf numFmtId="181" fontId="2" fillId="0" borderId="0" xfId="1" applyNumberFormat="1" applyFont="1"/>
    <xf numFmtId="9" fontId="5" fillId="0" borderId="0" xfId="2" applyFont="1" applyAlignment="1">
      <alignment horizontal="right"/>
    </xf>
    <xf numFmtId="165" fontId="2" fillId="0" borderId="0" xfId="1" applyNumberFormat="1" applyFont="1" applyAlignment="1">
      <alignment horizontal="right"/>
    </xf>
    <xf numFmtId="179" fontId="5" fillId="0" borderId="0" xfId="1" applyNumberFormat="1" applyFont="1"/>
    <xf numFmtId="180" fontId="5" fillId="0" borderId="0" xfId="1" applyNumberFormat="1" applyFont="1"/>
    <xf numFmtId="43" fontId="2" fillId="0" borderId="0" xfId="1" applyNumberFormat="1" applyFont="1" applyAlignment="1">
      <alignment horizontal="right"/>
    </xf>
    <xf numFmtId="166" fontId="2" fillId="0" borderId="0" xfId="0" applyNumberFormat="1" applyFont="1"/>
    <xf numFmtId="44" fontId="0" fillId="0" borderId="0" xfId="0" applyNumberFormat="1"/>
    <xf numFmtId="165" fontId="2" fillId="2" borderId="0" xfId="0" applyNumberFormat="1" applyFont="1" applyFill="1"/>
    <xf numFmtId="44" fontId="2" fillId="2" borderId="0" xfId="0" applyNumberFormat="1" applyFont="1" applyFill="1"/>
    <xf numFmtId="182" fontId="0" fillId="2" borderId="0" xfId="0" applyNumberFormat="1" applyFill="1"/>
    <xf numFmtId="182" fontId="0" fillId="0" borderId="0" xfId="0" applyNumberFormat="1"/>
    <xf numFmtId="2" fontId="0" fillId="2" borderId="0" xfId="0" applyNumberFormat="1" applyFill="1"/>
    <xf numFmtId="2" fontId="0" fillId="0" borderId="0" xfId="1" applyNumberFormat="1" applyFont="1"/>
    <xf numFmtId="164" fontId="2" fillId="0" borderId="0" xfId="1" applyNumberFormat="1" applyFont="1" applyAlignment="1">
      <alignment horizontal="right"/>
    </xf>
    <xf numFmtId="9" fontId="2" fillId="0" borderId="0" xfId="2" applyFont="1"/>
    <xf numFmtId="2" fontId="2" fillId="0" borderId="0" xfId="2" applyNumberFormat="1" applyFont="1" applyAlignment="1">
      <alignment horizontal="right"/>
    </xf>
    <xf numFmtId="167" fontId="2" fillId="0" borderId="0" xfId="2" applyNumberFormat="1" applyFont="1" applyAlignment="1">
      <alignment horizontal="right"/>
    </xf>
    <xf numFmtId="168" fontId="2" fillId="0" borderId="0" xfId="2" applyNumberFormat="1" applyFont="1" applyAlignment="1">
      <alignment horizontal="right"/>
    </xf>
    <xf numFmtId="10" fontId="2" fillId="0" borderId="0" xfId="2" applyNumberFormat="1" applyFont="1" applyAlignment="1">
      <alignment horizontal="right"/>
    </xf>
    <xf numFmtId="183" fontId="2" fillId="0" borderId="0" xfId="2" applyNumberFormat="1" applyFont="1" applyAlignment="1">
      <alignment horizontal="right"/>
    </xf>
    <xf numFmtId="10" fontId="0" fillId="0" borderId="0" xfId="2" applyNumberFormat="1" applyFont="1"/>
    <xf numFmtId="2" fontId="2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9" fontId="0" fillId="0" borderId="0" xfId="2" applyNumberFormat="1" applyFont="1"/>
    <xf numFmtId="10" fontId="2" fillId="0" borderId="0" xfId="1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4" fontId="2" fillId="0" borderId="0" xfId="2" applyNumberFormat="1" applyFont="1"/>
    <xf numFmtId="9" fontId="0" fillId="0" borderId="0" xfId="0" applyNumberFormat="1"/>
    <xf numFmtId="16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2" fontId="0" fillId="0" borderId="0" xfId="2" applyNumberFormat="1" applyFont="1"/>
    <xf numFmtId="166" fontId="0" fillId="0" borderId="0" xfId="2" applyNumberFormat="1" applyFont="1"/>
    <xf numFmtId="182" fontId="0" fillId="0" borderId="0" xfId="2" applyNumberFormat="1" applyFont="1"/>
    <xf numFmtId="180" fontId="0" fillId="0" borderId="0" xfId="0" applyNumberFormat="1"/>
    <xf numFmtId="182" fontId="2" fillId="0" borderId="0" xfId="1" applyNumberFormat="1" applyFont="1"/>
    <xf numFmtId="184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E2DB-5897-40A8-9163-59579E8DD361}">
  <dimension ref="A1:AH418"/>
  <sheetViews>
    <sheetView tabSelected="1" topLeftCell="A192" workbookViewId="0">
      <selection activeCell="A206" sqref="A206"/>
    </sheetView>
  </sheetViews>
  <sheetFormatPr defaultRowHeight="15" x14ac:dyDescent="0.25"/>
  <cols>
    <col min="1" max="1" width="125.5703125" customWidth="1"/>
    <col min="2" max="4" width="12.5703125" customWidth="1"/>
    <col min="5" max="5" width="15.5703125" customWidth="1"/>
    <col min="6" max="31" width="12.5703125" customWidth="1"/>
  </cols>
  <sheetData>
    <row r="1" spans="1:7" ht="21" x14ac:dyDescent="0.35">
      <c r="A1" s="40" t="s">
        <v>0</v>
      </c>
    </row>
    <row r="2" spans="1:7" x14ac:dyDescent="0.25">
      <c r="A2" s="3"/>
    </row>
    <row r="3" spans="1:7" x14ac:dyDescent="0.25">
      <c r="A3" s="27" t="s">
        <v>1</v>
      </c>
      <c r="B3" s="67" t="s">
        <v>218</v>
      </c>
      <c r="C3" s="68"/>
    </row>
    <row r="4" spans="1:7" x14ac:dyDescent="0.25">
      <c r="A4" s="27" t="s">
        <v>27</v>
      </c>
      <c r="B4" s="67" t="s">
        <v>219</v>
      </c>
      <c r="C4" s="68"/>
    </row>
    <row r="5" spans="1:7" x14ac:dyDescent="0.25">
      <c r="A5" s="27" t="s">
        <v>28</v>
      </c>
      <c r="B5" s="67" t="s">
        <v>220</v>
      </c>
    </row>
    <row r="6" spans="1:7" x14ac:dyDescent="0.25">
      <c r="A6" s="27" t="s">
        <v>25</v>
      </c>
      <c r="B6" s="67">
        <v>2.75</v>
      </c>
    </row>
    <row r="7" spans="1:7" x14ac:dyDescent="0.25">
      <c r="A7" s="3"/>
    </row>
    <row r="8" spans="1:7" x14ac:dyDescent="0.25">
      <c r="A8" s="3"/>
      <c r="B8" s="1" t="s">
        <v>39</v>
      </c>
    </row>
    <row r="9" spans="1:7" x14ac:dyDescent="0.25">
      <c r="A9" s="3"/>
      <c r="G9" s="3" t="s">
        <v>36</v>
      </c>
    </row>
    <row r="10" spans="1:7" x14ac:dyDescent="0.25">
      <c r="A10" s="3" t="s">
        <v>31</v>
      </c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40</v>
      </c>
    </row>
    <row r="11" spans="1:7" x14ac:dyDescent="0.25">
      <c r="A11" s="3" t="s">
        <v>37</v>
      </c>
      <c r="B11" s="69">
        <v>907</v>
      </c>
      <c r="C11" s="69">
        <v>482</v>
      </c>
      <c r="D11" s="69">
        <v>727</v>
      </c>
      <c r="E11" s="69">
        <v>709</v>
      </c>
      <c r="F11" s="11">
        <f>SUM(B11:E11)/4</f>
        <v>706.25</v>
      </c>
      <c r="G11" s="14">
        <f>F11/B11</f>
        <v>0.77866593164277842</v>
      </c>
    </row>
    <row r="12" spans="1:7" x14ac:dyDescent="0.25">
      <c r="A12" s="3" t="s">
        <v>38</v>
      </c>
      <c r="B12" s="69">
        <v>829</v>
      </c>
      <c r="C12" s="69">
        <v>695</v>
      </c>
      <c r="D12" s="69">
        <v>767</v>
      </c>
      <c r="E12" s="69">
        <v>761</v>
      </c>
      <c r="F12" s="11">
        <f>SUM(B12:E12)/4</f>
        <v>763</v>
      </c>
      <c r="G12" s="14">
        <f>F12/B12</f>
        <v>0.92038600723763575</v>
      </c>
    </row>
    <row r="13" spans="1:7" x14ac:dyDescent="0.25">
      <c r="A13" s="3" t="s">
        <v>56</v>
      </c>
      <c r="B13" s="69">
        <f>(782+788)/2</f>
        <v>785</v>
      </c>
      <c r="C13" s="69">
        <f>(747+754)/2</f>
        <v>750.5</v>
      </c>
      <c r="D13" s="69">
        <f>(769+769)/2</f>
        <v>769</v>
      </c>
      <c r="E13" s="69">
        <f>(767+767)/2</f>
        <v>767</v>
      </c>
      <c r="F13" s="11">
        <f>SUM(B13:E13)/4</f>
        <v>767.875</v>
      </c>
      <c r="G13" s="14">
        <f>F13/B13</f>
        <v>0.97818471337579616</v>
      </c>
    </row>
    <row r="14" spans="1:7" x14ac:dyDescent="0.25">
      <c r="A14" s="3"/>
    </row>
    <row r="15" spans="1:7" ht="18.75" x14ac:dyDescent="0.3">
      <c r="A15" s="33" t="s">
        <v>5</v>
      </c>
    </row>
    <row r="16" spans="1:7" x14ac:dyDescent="0.25">
      <c r="A16" s="3"/>
    </row>
    <row r="17" spans="1:8" x14ac:dyDescent="0.25">
      <c r="A17" s="3" t="s">
        <v>3</v>
      </c>
      <c r="B17" s="3" t="s">
        <v>7</v>
      </c>
      <c r="C17" s="3" t="s">
        <v>8</v>
      </c>
      <c r="D17" s="3" t="s">
        <v>42</v>
      </c>
      <c r="E17" s="3" t="s">
        <v>10</v>
      </c>
      <c r="F17" s="3" t="s">
        <v>11</v>
      </c>
      <c r="G17" s="3" t="s">
        <v>13</v>
      </c>
    </row>
    <row r="18" spans="1:8" x14ac:dyDescent="0.25">
      <c r="A18" s="3"/>
      <c r="B18" s="3"/>
      <c r="C18" s="3" t="s">
        <v>9</v>
      </c>
      <c r="D18" s="3"/>
      <c r="E18" s="3"/>
      <c r="F18" s="3"/>
      <c r="G18" s="3"/>
    </row>
    <row r="19" spans="1:8" x14ac:dyDescent="0.25">
      <c r="A19" s="3" t="s">
        <v>4</v>
      </c>
      <c r="B19" s="4">
        <v>82.5</v>
      </c>
      <c r="C19" s="4">
        <v>96</v>
      </c>
      <c r="D19" s="4">
        <v>147</v>
      </c>
      <c r="E19" s="4">
        <v>76.900000000000006</v>
      </c>
      <c r="F19" s="4">
        <v>60.9</v>
      </c>
      <c r="G19" s="4">
        <f>G21/G20</f>
        <v>92.417939733707087</v>
      </c>
    </row>
    <row r="20" spans="1:8" x14ac:dyDescent="0.25">
      <c r="A20" s="3" t="s">
        <v>12</v>
      </c>
      <c r="B20" s="70">
        <f>(UK!B20/UK!$B$6)*$B$6</f>
        <v>0.3203287711990479</v>
      </c>
      <c r="C20" s="70">
        <f>(UK!C20/UK!$B$6)*$B$6</f>
        <v>0.29169146087473968</v>
      </c>
      <c r="D20" s="70">
        <f>(UK!D20/UK!$B$6)*$B$6</f>
        <v>0.20905236536745017</v>
      </c>
      <c r="E20" s="70">
        <f>(UK!E20/UK!$B$6)*$B$6</f>
        <v>0.10268521273430525</v>
      </c>
      <c r="F20" s="70">
        <f>(UK!F20/UK!$B$6)*$B$6</f>
        <v>0.24382624218982446</v>
      </c>
      <c r="G20" s="8">
        <f>SUM(B20:F20)</f>
        <v>1.1675840523653676</v>
      </c>
    </row>
    <row r="21" spans="1:8" x14ac:dyDescent="0.25">
      <c r="A21" s="3" t="s">
        <v>15</v>
      </c>
      <c r="B21" s="4">
        <f>B19*B20</f>
        <v>26.427123623921453</v>
      </c>
      <c r="C21" s="4">
        <f t="shared" ref="C21:F21" si="0">C19*C20</f>
        <v>28.002380243975011</v>
      </c>
      <c r="D21" s="4">
        <f t="shared" si="0"/>
        <v>30.730697709015175</v>
      </c>
      <c r="E21" s="4">
        <f t="shared" si="0"/>
        <v>7.8964928592680748</v>
      </c>
      <c r="F21" s="4">
        <f t="shared" si="0"/>
        <v>14.84901814936031</v>
      </c>
      <c r="G21" s="4">
        <f>SUM(B21:F21)</f>
        <v>107.90571258554003</v>
      </c>
    </row>
    <row r="22" spans="1:8" x14ac:dyDescent="0.25">
      <c r="A22" s="3" t="s">
        <v>6</v>
      </c>
      <c r="B22" s="68">
        <v>2</v>
      </c>
      <c r="C22" s="68">
        <v>2</v>
      </c>
      <c r="D22" s="68">
        <v>2</v>
      </c>
      <c r="E22" s="68">
        <v>1</v>
      </c>
      <c r="F22" s="68">
        <v>3</v>
      </c>
      <c r="G22" s="9">
        <f>G21/G23</f>
        <v>1.9468335080798587</v>
      </c>
    </row>
    <row r="23" spans="1:8" x14ac:dyDescent="0.25">
      <c r="A23" s="3" t="s">
        <v>41</v>
      </c>
      <c r="B23" s="15">
        <f>B21/B22</f>
        <v>13.213561811960727</v>
      </c>
      <c r="C23" s="51">
        <f t="shared" ref="C23:F23" si="1">C21/C22</f>
        <v>14.001190121987506</v>
      </c>
      <c r="D23" s="51">
        <f t="shared" si="1"/>
        <v>15.365348854507587</v>
      </c>
      <c r="E23" s="51">
        <f t="shared" si="1"/>
        <v>7.8964928592680748</v>
      </c>
      <c r="F23" s="51">
        <f t="shared" si="1"/>
        <v>4.9496727164534366</v>
      </c>
      <c r="G23" s="15">
        <f>SUM(B23:F23)</f>
        <v>55.42626636417733</v>
      </c>
    </row>
    <row r="24" spans="1:8" x14ac:dyDescent="0.25">
      <c r="A24" s="27" t="s">
        <v>66</v>
      </c>
      <c r="B24" s="52">
        <f>B23*$B$347</f>
        <v>2.719126797522522</v>
      </c>
      <c r="C24" s="52">
        <f>C23*$B$347</f>
        <v>2.8812073383152845</v>
      </c>
      <c r="D24" s="52">
        <f>D23*$B$347</f>
        <v>3.1619280568055923</v>
      </c>
      <c r="E24" s="52">
        <f>E23*$B$347</f>
        <v>1.6249642333867398</v>
      </c>
      <c r="F24" s="52">
        <f>F23*$B$347</f>
        <v>1.0185586531325665</v>
      </c>
      <c r="G24" s="53">
        <f>SUM(B24:F24)</f>
        <v>11.405785079162706</v>
      </c>
      <c r="H24" s="1" t="s">
        <v>62</v>
      </c>
    </row>
    <row r="25" spans="1:8" x14ac:dyDescent="0.25">
      <c r="A25" s="27" t="s">
        <v>187</v>
      </c>
      <c r="B25" s="52">
        <f>B24*$F$11/1000</f>
        <v>1.9203833007502811</v>
      </c>
      <c r="C25" s="52">
        <f t="shared" ref="C25:F25" si="2">C24*$F$11/1000</f>
        <v>2.0348526826851696</v>
      </c>
      <c r="D25" s="52">
        <f t="shared" si="2"/>
        <v>2.2331116901189492</v>
      </c>
      <c r="E25" s="52">
        <f t="shared" si="2"/>
        <v>1.1476309898293851</v>
      </c>
      <c r="F25" s="52">
        <f t="shared" si="2"/>
        <v>0.71935704877487516</v>
      </c>
      <c r="G25" s="53">
        <f>SUM(B25:F25)</f>
        <v>8.0553357121586604</v>
      </c>
      <c r="H25" s="1" t="s">
        <v>63</v>
      </c>
    </row>
    <row r="26" spans="1:8" x14ac:dyDescent="0.25">
      <c r="A26" s="27" t="s">
        <v>76</v>
      </c>
      <c r="B26" s="52">
        <f>B24/B20</f>
        <v>8.4885500211059526</v>
      </c>
      <c r="C26" s="52">
        <f t="shared" ref="C26:G26" si="3">C24/C20</f>
        <v>9.8775854791051074</v>
      </c>
      <c r="D26" s="52">
        <f t="shared" si="3"/>
        <v>15.125052764879694</v>
      </c>
      <c r="E26" s="52">
        <f t="shared" si="3"/>
        <v>15.824715069649644</v>
      </c>
      <c r="F26" s="52">
        <f t="shared" si="3"/>
        <v>4.1773955255382011</v>
      </c>
      <c r="G26" s="53">
        <f t="shared" si="3"/>
        <v>9.7687057784457796</v>
      </c>
      <c r="H26" s="1" t="s">
        <v>77</v>
      </c>
    </row>
    <row r="27" spans="1:8" x14ac:dyDescent="0.25">
      <c r="A27" s="27" t="s">
        <v>145</v>
      </c>
      <c r="B27" s="37">
        <v>900</v>
      </c>
      <c r="C27" s="17" t="s">
        <v>149</v>
      </c>
      <c r="D27" s="15"/>
      <c r="E27" s="15"/>
      <c r="F27" s="15"/>
      <c r="G27" s="17"/>
      <c r="H27" s="1"/>
    </row>
    <row r="28" spans="1:8" x14ac:dyDescent="0.25">
      <c r="A28" s="27" t="s">
        <v>175</v>
      </c>
      <c r="B28" s="54">
        <f>B20*B26*$B27/1000</f>
        <v>2.4472141177702698</v>
      </c>
      <c r="C28" s="54">
        <f t="shared" ref="C28:F28" si="4">C20*C26*$B27/1000</f>
        <v>2.5930866044837559</v>
      </c>
      <c r="D28" s="54">
        <f t="shared" si="4"/>
        <v>2.8457352511250327</v>
      </c>
      <c r="E28" s="54">
        <f t="shared" si="4"/>
        <v>1.4624678100480657</v>
      </c>
      <c r="F28" s="54">
        <f t="shared" si="4"/>
        <v>0.91670278781930992</v>
      </c>
      <c r="G28" s="54">
        <f>SUM(B28:F28)</f>
        <v>10.265206571246434</v>
      </c>
      <c r="H28" s="1" t="s">
        <v>146</v>
      </c>
    </row>
    <row r="29" spans="1:8" x14ac:dyDescent="0.25">
      <c r="A29" s="27"/>
      <c r="B29" s="38"/>
      <c r="C29" s="38"/>
      <c r="D29" s="38"/>
      <c r="E29" s="38"/>
      <c r="F29" s="38"/>
      <c r="G29" s="38"/>
      <c r="H29" s="1"/>
    </row>
    <row r="30" spans="1:8" x14ac:dyDescent="0.25">
      <c r="A30" s="27" t="s">
        <v>162</v>
      </c>
      <c r="B30" s="39">
        <f t="shared" ref="B30:G30" si="5">100*$B$367*B28/B25</f>
        <v>8.9203539823008864</v>
      </c>
      <c r="C30" s="39">
        <f t="shared" si="5"/>
        <v>8.9203539823008846</v>
      </c>
      <c r="D30" s="39">
        <f t="shared" si="5"/>
        <v>8.9203539823008864</v>
      </c>
      <c r="E30" s="39">
        <f t="shared" si="5"/>
        <v>8.9203539823008846</v>
      </c>
      <c r="F30" s="39">
        <f t="shared" si="5"/>
        <v>8.9203539823008864</v>
      </c>
      <c r="G30" s="39">
        <f t="shared" si="5"/>
        <v>8.9203539823008864</v>
      </c>
      <c r="H30" s="1" t="s">
        <v>161</v>
      </c>
    </row>
    <row r="31" spans="1:8" x14ac:dyDescent="0.25">
      <c r="A31" s="3"/>
      <c r="B31" s="15"/>
      <c r="C31" s="15"/>
      <c r="D31" s="15"/>
      <c r="E31" s="15"/>
      <c r="F31" s="15"/>
      <c r="G31" s="15"/>
    </row>
    <row r="32" spans="1:8" x14ac:dyDescent="0.25">
      <c r="A32" s="3" t="s">
        <v>3</v>
      </c>
      <c r="B32" s="3" t="s">
        <v>7</v>
      </c>
      <c r="C32" s="3" t="s">
        <v>8</v>
      </c>
      <c r="D32" s="3" t="s">
        <v>42</v>
      </c>
      <c r="E32" s="3" t="s">
        <v>10</v>
      </c>
      <c r="F32" s="3" t="s">
        <v>11</v>
      </c>
      <c r="G32" s="3" t="s">
        <v>13</v>
      </c>
    </row>
    <row r="33" spans="1:8" x14ac:dyDescent="0.25">
      <c r="A33" s="3"/>
      <c r="B33" s="3"/>
      <c r="C33" s="3" t="s">
        <v>9</v>
      </c>
      <c r="D33" s="3"/>
      <c r="E33" s="3"/>
      <c r="F33" s="3"/>
      <c r="G33" s="3"/>
    </row>
    <row r="34" spans="1:8" x14ac:dyDescent="0.25">
      <c r="A34" s="3" t="s">
        <v>14</v>
      </c>
      <c r="B34" s="71" t="s">
        <v>287</v>
      </c>
      <c r="C34" s="71" t="s">
        <v>287</v>
      </c>
      <c r="D34" s="71" t="s">
        <v>287</v>
      </c>
      <c r="E34" s="71" t="s">
        <v>287</v>
      </c>
      <c r="F34" s="71" t="s">
        <v>287</v>
      </c>
      <c r="G34" s="71" t="s">
        <v>287</v>
      </c>
    </row>
    <row r="35" spans="1:8" x14ac:dyDescent="0.25">
      <c r="A35" s="3" t="s">
        <v>97</v>
      </c>
      <c r="B35" s="68">
        <v>100</v>
      </c>
      <c r="C35" s="68">
        <v>100</v>
      </c>
      <c r="D35" s="68">
        <v>100</v>
      </c>
      <c r="E35" s="68">
        <v>100</v>
      </c>
      <c r="F35" s="68">
        <v>100</v>
      </c>
      <c r="G35" s="22">
        <f>G36*B358*1000/G21</f>
        <v>100</v>
      </c>
      <c r="H35" s="1" t="s">
        <v>79</v>
      </c>
    </row>
    <row r="36" spans="1:8" x14ac:dyDescent="0.25">
      <c r="A36" s="3" t="s">
        <v>121</v>
      </c>
      <c r="B36" s="7">
        <f>B21*B35/($B$358*1000)</f>
        <v>0.88090412079738178</v>
      </c>
      <c r="C36" s="7">
        <f>C21*C35/($B$358*1000)</f>
        <v>0.93341267479916712</v>
      </c>
      <c r="D36" s="7">
        <f>D21*D35/($B$358*1000)</f>
        <v>1.0243565903005059</v>
      </c>
      <c r="E36" s="7">
        <f>E21*E35/($B$358*1000)</f>
        <v>0.26321642864226913</v>
      </c>
      <c r="F36" s="7">
        <f>F21*F35/($B$358*1000)</f>
        <v>0.49496727164534371</v>
      </c>
      <c r="G36" s="55">
        <f>SUM(B36:F36)</f>
        <v>3.5968570861846674</v>
      </c>
      <c r="H36" s="1" t="s">
        <v>63</v>
      </c>
    </row>
    <row r="37" spans="1:8" x14ac:dyDescent="0.25">
      <c r="A37" s="3" t="s">
        <v>246</v>
      </c>
      <c r="B37" s="7">
        <f>B36*($B$358-1)</f>
        <v>1.7618082415947636</v>
      </c>
      <c r="C37" s="7">
        <f>C36*($B$358-1)</f>
        <v>1.8668253495983342</v>
      </c>
      <c r="D37" s="7">
        <f>D36*($B$358-1)</f>
        <v>2.0487131806010117</v>
      </c>
      <c r="E37" s="7">
        <f>E36*($B$358-1)</f>
        <v>0.52643285728453826</v>
      </c>
      <c r="F37" s="7">
        <f>F36*($B$358-1)</f>
        <v>0.98993454329068742</v>
      </c>
      <c r="G37" s="93">
        <f t="shared" ref="G37:G40" si="6">SUM(B37:F37)</f>
        <v>7.1937141723693347</v>
      </c>
      <c r="H37" s="1" t="s">
        <v>63</v>
      </c>
    </row>
    <row r="38" spans="1:8" x14ac:dyDescent="0.25">
      <c r="A38" s="3" t="s">
        <v>248</v>
      </c>
      <c r="B38" s="98">
        <f>B37*$B$269/100</f>
        <v>7.4918211810339058E-2</v>
      </c>
      <c r="C38" s="98">
        <f>C37*$B$269/100</f>
        <v>7.9383904361532392E-2</v>
      </c>
      <c r="D38" s="98">
        <f>D37*$B$269/100</f>
        <v>8.7118407315410651E-2</v>
      </c>
      <c r="E38" s="98">
        <f>E37*$B$269/100</f>
        <v>2.2385755370439773E-2</v>
      </c>
      <c r="F38" s="98">
        <f>F37*$B$269/100</f>
        <v>4.2095458541782441E-2</v>
      </c>
      <c r="G38" s="99">
        <f t="shared" si="6"/>
        <v>0.30590173739950433</v>
      </c>
      <c r="H38" s="1" t="s">
        <v>213</v>
      </c>
    </row>
    <row r="39" spans="1:8" x14ac:dyDescent="0.25">
      <c r="A39" s="3" t="s">
        <v>285</v>
      </c>
      <c r="B39" s="76">
        <v>5000</v>
      </c>
      <c r="C39" s="76">
        <v>6000</v>
      </c>
      <c r="D39" s="76">
        <v>8000</v>
      </c>
      <c r="E39" s="76">
        <v>5000</v>
      </c>
      <c r="F39" s="76">
        <v>5000</v>
      </c>
      <c r="G39" s="85">
        <f>1000*G40/G20</f>
        <v>5786.9656622284519</v>
      </c>
      <c r="H39" s="1"/>
    </row>
    <row r="40" spans="1:8" x14ac:dyDescent="0.25">
      <c r="A40" s="3" t="s">
        <v>249</v>
      </c>
      <c r="B40" s="16">
        <f>B20*B39/1000</f>
        <v>1.6016438559952397</v>
      </c>
      <c r="C40" s="16">
        <f t="shared" ref="C40:F40" si="7">C20*C39/1000</f>
        <v>1.7501487652484382</v>
      </c>
      <c r="D40" s="16">
        <f t="shared" si="7"/>
        <v>1.6724189229396014</v>
      </c>
      <c r="E40" s="16">
        <f t="shared" si="7"/>
        <v>0.51342606367152632</v>
      </c>
      <c r="F40" s="16">
        <f t="shared" si="7"/>
        <v>1.2191312109491224</v>
      </c>
      <c r="G40" s="84">
        <f t="shared" si="6"/>
        <v>6.7567688188039279</v>
      </c>
      <c r="H40" s="1" t="s">
        <v>252</v>
      </c>
    </row>
    <row r="41" spans="1:8" x14ac:dyDescent="0.25">
      <c r="A41" s="3" t="s">
        <v>250</v>
      </c>
      <c r="B41" s="6">
        <f>1000*B38/B20</f>
        <v>233.87912215910794</v>
      </c>
      <c r="C41" s="6">
        <f t="shared" ref="C41:G41" si="8">1000*C38/C20</f>
        <v>272.15025123968923</v>
      </c>
      <c r="D41" s="6">
        <f t="shared" si="8"/>
        <v>416.73007221077415</v>
      </c>
      <c r="E41" s="6">
        <f t="shared" si="8"/>
        <v>218.00369083679274</v>
      </c>
      <c r="F41" s="6">
        <f t="shared" si="8"/>
        <v>172.64531563017789</v>
      </c>
      <c r="G41" s="79">
        <f t="shared" si="8"/>
        <v>261.99547414148793</v>
      </c>
      <c r="H41" s="1" t="s">
        <v>156</v>
      </c>
    </row>
    <row r="42" spans="1:8" x14ac:dyDescent="0.25">
      <c r="A42" s="3" t="s">
        <v>251</v>
      </c>
      <c r="B42" s="14">
        <f>B41/B39</f>
        <v>4.6775824431821586E-2</v>
      </c>
      <c r="C42" s="14">
        <f t="shared" ref="C42:G42" si="9">C41/C39</f>
        <v>4.535837520661487E-2</v>
      </c>
      <c r="D42" s="14">
        <f t="shared" si="9"/>
        <v>5.2091259026346766E-2</v>
      </c>
      <c r="E42" s="14">
        <f t="shared" si="9"/>
        <v>4.3600738167358551E-2</v>
      </c>
      <c r="F42" s="14">
        <f t="shared" si="9"/>
        <v>3.4529063126035577E-2</v>
      </c>
      <c r="G42" s="43">
        <f t="shared" si="9"/>
        <v>4.5273376313865736E-2</v>
      </c>
      <c r="H42" s="1" t="s">
        <v>156</v>
      </c>
    </row>
    <row r="43" spans="1:8" x14ac:dyDescent="0.25">
      <c r="A43" s="3"/>
      <c r="B43" s="14"/>
      <c r="C43" s="14"/>
      <c r="D43" s="14"/>
      <c r="E43" s="14"/>
      <c r="F43" s="14"/>
      <c r="G43" s="43"/>
      <c r="H43" s="1"/>
    </row>
    <row r="44" spans="1:8" x14ac:dyDescent="0.25">
      <c r="A44" s="3" t="s">
        <v>3</v>
      </c>
      <c r="B44" s="3" t="s">
        <v>7</v>
      </c>
      <c r="C44" s="3" t="s">
        <v>8</v>
      </c>
      <c r="D44" s="3" t="s">
        <v>42</v>
      </c>
      <c r="E44" s="3" t="s">
        <v>10</v>
      </c>
      <c r="F44" s="3" t="s">
        <v>11</v>
      </c>
      <c r="G44" s="3" t="s">
        <v>13</v>
      </c>
      <c r="H44" s="1"/>
    </row>
    <row r="45" spans="1:8" x14ac:dyDescent="0.25">
      <c r="A45" s="3"/>
      <c r="B45" s="3"/>
      <c r="C45" s="3" t="s">
        <v>9</v>
      </c>
      <c r="D45" s="3"/>
      <c r="E45" s="3"/>
      <c r="F45" s="3"/>
      <c r="G45" s="3"/>
      <c r="H45" s="1"/>
    </row>
    <row r="46" spans="1:8" x14ac:dyDescent="0.25">
      <c r="A46" s="3" t="s">
        <v>333</v>
      </c>
      <c r="B46" s="128">
        <f>$B$415*B19</f>
        <v>20.625</v>
      </c>
      <c r="C46" s="128">
        <f t="shared" ref="C46:F46" si="10">$B$415*C19</f>
        <v>24</v>
      </c>
      <c r="D46" s="128">
        <f t="shared" si="10"/>
        <v>36.75</v>
      </c>
      <c r="E46" s="128">
        <f t="shared" si="10"/>
        <v>19.225000000000001</v>
      </c>
      <c r="F46" s="128">
        <f t="shared" si="10"/>
        <v>15.225</v>
      </c>
      <c r="G46" s="128">
        <f>$B$415*G19</f>
        <v>23.104484933426772</v>
      </c>
      <c r="H46" s="1" t="s">
        <v>353</v>
      </c>
    </row>
    <row r="47" spans="1:8" x14ac:dyDescent="0.25">
      <c r="A47" s="3" t="s">
        <v>343</v>
      </c>
      <c r="B47" s="129">
        <f>SQRT(B19/B22)*4*$B$416*B22-B46</f>
        <v>112.96541881811734</v>
      </c>
      <c r="C47" s="129">
        <f t="shared" ref="C47:F47" si="11">SQRT(C19/C22)*4*$B$416*C22-C46</f>
        <v>120.10662718973057</v>
      </c>
      <c r="D47" s="129">
        <f t="shared" si="11"/>
        <v>141.5728532746154</v>
      </c>
      <c r="E47" s="129">
        <f t="shared" si="11"/>
        <v>71.975350876518007</v>
      </c>
      <c r="F47" s="129">
        <f t="shared" si="11"/>
        <v>125.34822646933875</v>
      </c>
      <c r="G47" s="129">
        <f>SQRT(G19/G22)*4*$B$416*B22-G46</f>
        <v>120.20570447481821</v>
      </c>
      <c r="H47" s="1" t="s">
        <v>353</v>
      </c>
    </row>
    <row r="48" spans="1:8" x14ac:dyDescent="0.25">
      <c r="A48" s="3" t="s">
        <v>335</v>
      </c>
      <c r="B48" s="56">
        <f>B20</f>
        <v>0.3203287711990479</v>
      </c>
      <c r="C48" s="56">
        <f t="shared" ref="C48:F48" si="12">C20</f>
        <v>0.29169146087473968</v>
      </c>
      <c r="D48" s="56">
        <f t="shared" si="12"/>
        <v>0.20905236536745017</v>
      </c>
      <c r="E48" s="56">
        <f t="shared" si="12"/>
        <v>0.10268521273430525</v>
      </c>
      <c r="F48" s="56">
        <f t="shared" si="12"/>
        <v>0.24382624218982446</v>
      </c>
      <c r="G48" s="53">
        <f>SUM(B48:F48)</f>
        <v>1.1675840523653676</v>
      </c>
      <c r="H48" s="1" t="s">
        <v>92</v>
      </c>
    </row>
    <row r="49" spans="1:8" x14ac:dyDescent="0.25">
      <c r="A49" s="3" t="s">
        <v>334</v>
      </c>
      <c r="B49" s="13">
        <v>0.34</v>
      </c>
      <c r="C49" s="13">
        <v>0.34</v>
      </c>
      <c r="D49" s="13">
        <v>0.34</v>
      </c>
      <c r="E49" s="13">
        <v>0.34</v>
      </c>
      <c r="F49" s="13">
        <v>0.34</v>
      </c>
      <c r="G49" s="114">
        <v>0.34</v>
      </c>
      <c r="H49" s="1"/>
    </row>
    <row r="50" spans="1:8" x14ac:dyDescent="0.25">
      <c r="A50" s="3" t="s">
        <v>336</v>
      </c>
      <c r="B50" s="7">
        <f>B48*20.4/28.54</f>
        <v>0.22896660590261309</v>
      </c>
      <c r="C50" s="7">
        <f t="shared" ref="C50:F50" si="13">C48*20.4/28.54</f>
        <v>0.20849704981936543</v>
      </c>
      <c r="D50" s="7">
        <f t="shared" si="13"/>
        <v>0.14942775940770789</v>
      </c>
      <c r="E50" s="7">
        <f t="shared" si="13"/>
        <v>7.3397979669930877E-2</v>
      </c>
      <c r="F50" s="7">
        <f t="shared" si="13"/>
        <v>0.17428364893736578</v>
      </c>
      <c r="G50" s="53">
        <f>SUM(B50:F50)</f>
        <v>0.83457304373698316</v>
      </c>
      <c r="H50" s="1" t="s">
        <v>92</v>
      </c>
    </row>
    <row r="51" spans="1:8" x14ac:dyDescent="0.25">
      <c r="A51" s="3" t="s">
        <v>337</v>
      </c>
      <c r="B51" s="13">
        <v>0.3</v>
      </c>
      <c r="C51" s="13">
        <v>0.3</v>
      </c>
      <c r="D51" s="13">
        <v>0.3</v>
      </c>
      <c r="E51" s="13">
        <v>0.3</v>
      </c>
      <c r="F51" s="13">
        <v>0.3</v>
      </c>
      <c r="G51" s="114">
        <v>0.3</v>
      </c>
      <c r="H51" s="1"/>
    </row>
    <row r="52" spans="1:8" x14ac:dyDescent="0.25">
      <c r="A52" s="3" t="s">
        <v>338</v>
      </c>
      <c r="B52" s="7">
        <f>B20-B50</f>
        <v>9.1362165296434816E-2</v>
      </c>
      <c r="C52" s="7">
        <f t="shared" ref="C52:F52" si="14">C20-C50</f>
        <v>8.3194411055374257E-2</v>
      </c>
      <c r="D52" s="7">
        <f t="shared" si="14"/>
        <v>5.9624605959742283E-2</v>
      </c>
      <c r="E52" s="7">
        <f t="shared" si="14"/>
        <v>2.9287233064374377E-2</v>
      </c>
      <c r="F52" s="7">
        <f t="shared" si="14"/>
        <v>6.9542593252458679E-2</v>
      </c>
      <c r="G52" s="53">
        <f>SUM(B52:F52)</f>
        <v>0.3330110086283844</v>
      </c>
      <c r="H52" s="1" t="s">
        <v>92</v>
      </c>
    </row>
    <row r="53" spans="1:8" x14ac:dyDescent="0.25">
      <c r="A53" s="3" t="s">
        <v>339</v>
      </c>
      <c r="B53" s="13">
        <v>0.91</v>
      </c>
      <c r="C53" s="13">
        <v>0.91</v>
      </c>
      <c r="D53" s="13">
        <v>0.91</v>
      </c>
      <c r="E53" s="13">
        <v>0.91</v>
      </c>
      <c r="F53" s="13">
        <v>0.91</v>
      </c>
      <c r="G53" s="114">
        <v>0.91</v>
      </c>
      <c r="H53" s="1"/>
    </row>
    <row r="54" spans="1:8" x14ac:dyDescent="0.25">
      <c r="A54" s="3" t="s">
        <v>340</v>
      </c>
      <c r="B54" s="13">
        <v>7.0000000000000007E-2</v>
      </c>
      <c r="C54" s="13">
        <v>7.0000000000000007E-2</v>
      </c>
      <c r="D54" s="13">
        <v>7.0000000000000007E-2</v>
      </c>
      <c r="E54" s="13">
        <v>7.0000000000000007E-2</v>
      </c>
      <c r="F54" s="13">
        <v>7.0000000000000007E-2</v>
      </c>
      <c r="G54" s="114">
        <v>7.0000000000000007E-2</v>
      </c>
      <c r="H54" s="1"/>
    </row>
    <row r="55" spans="1:8" x14ac:dyDescent="0.25">
      <c r="A55" s="3" t="s">
        <v>341</v>
      </c>
      <c r="B55" s="130">
        <f>B48*B54</f>
        <v>2.2423013983933354E-2</v>
      </c>
      <c r="C55" s="130">
        <f t="shared" ref="C55:F55" si="15">C48*C54</f>
        <v>2.0418402261231781E-2</v>
      </c>
      <c r="D55" s="130">
        <f t="shared" si="15"/>
        <v>1.4633665575721513E-2</v>
      </c>
      <c r="E55" s="130">
        <f t="shared" si="15"/>
        <v>7.1879648914013683E-3</v>
      </c>
      <c r="F55" s="130">
        <f t="shared" si="15"/>
        <v>1.7067836953287716E-2</v>
      </c>
      <c r="G55" s="53">
        <f>SUM(B55:F55)</f>
        <v>8.1730883665575738E-2</v>
      </c>
      <c r="H55" s="1" t="s">
        <v>92</v>
      </c>
    </row>
    <row r="56" spans="1:8" x14ac:dyDescent="0.25">
      <c r="A56" s="3"/>
      <c r="B56" s="130"/>
      <c r="C56" s="130"/>
      <c r="D56" s="130"/>
      <c r="E56" s="130"/>
      <c r="F56" s="130"/>
      <c r="G56" s="17"/>
      <c r="H56" s="1"/>
    </row>
    <row r="57" spans="1:8" x14ac:dyDescent="0.25">
      <c r="A57" s="3" t="s">
        <v>347</v>
      </c>
      <c r="B57" s="132">
        <f>B48*B49*(B19/B22)/1000</f>
        <v>4.4926110160666468E-3</v>
      </c>
      <c r="C57" s="132">
        <f t="shared" ref="C57:F57" si="16">C48*C49*(C19/C22)/1000</f>
        <v>4.7604046414757521E-3</v>
      </c>
      <c r="D57" s="132">
        <f t="shared" si="16"/>
        <v>5.2242186105325803E-3</v>
      </c>
      <c r="E57" s="132">
        <f t="shared" si="16"/>
        <v>2.6848075721511459E-3</v>
      </c>
      <c r="F57" s="132">
        <f t="shared" si="16"/>
        <v>1.6828887235941687E-3</v>
      </c>
      <c r="G57" s="134">
        <f t="shared" ref="G57:G77" si="17">SUM(B57:F57)</f>
        <v>1.8844930563820292E-2</v>
      </c>
      <c r="H57" s="1" t="s">
        <v>352</v>
      </c>
    </row>
    <row r="58" spans="1:8" x14ac:dyDescent="0.25">
      <c r="A58" s="3" t="s">
        <v>348</v>
      </c>
      <c r="B58" s="132">
        <f>B50*B51*B$47/1000</f>
        <v>7.7595925593454511E-3</v>
      </c>
      <c r="C58" s="132">
        <f t="shared" ref="C58:E58" si="18">C50*C51*C$47/1000</f>
        <v>7.5125632298439615E-3</v>
      </c>
      <c r="D58" s="132">
        <f t="shared" si="18"/>
        <v>6.346474277334588E-3</v>
      </c>
      <c r="E58" s="132">
        <f t="shared" si="18"/>
        <v>1.584853602111243E-3</v>
      </c>
      <c r="F58" s="132">
        <f>F50*F51*F$47/1000</f>
        <v>6.5538438890710964E-3</v>
      </c>
      <c r="G58" s="134">
        <f t="shared" si="17"/>
        <v>2.975732755770634E-2</v>
      </c>
      <c r="H58" s="1" t="s">
        <v>352</v>
      </c>
    </row>
    <row r="59" spans="1:8" x14ac:dyDescent="0.25">
      <c r="A59" s="3" t="s">
        <v>349</v>
      </c>
      <c r="B59" s="132">
        <f>B52*B53*B$47/1000</f>
        <v>9.3918963928260601E-3</v>
      </c>
      <c r="C59" s="132">
        <f t="shared" ref="C59:F59" si="19">C52*C53*C$47/1000</f>
        <v>9.0929021027363038E-3</v>
      </c>
      <c r="D59" s="132">
        <f t="shared" si="19"/>
        <v>7.6815152878967714E-3</v>
      </c>
      <c r="E59" s="132">
        <f t="shared" si="19"/>
        <v>1.918242577169742E-3</v>
      </c>
      <c r="F59" s="132">
        <f t="shared" si="19"/>
        <v>7.9325070627296133E-3</v>
      </c>
      <c r="G59" s="134">
        <f t="shared" si="17"/>
        <v>3.6017063423358496E-2</v>
      </c>
      <c r="H59" s="1" t="s">
        <v>352</v>
      </c>
    </row>
    <row r="60" spans="1:8" x14ac:dyDescent="0.25">
      <c r="A60" s="3" t="s">
        <v>350</v>
      </c>
      <c r="B60" s="132">
        <f>B46*B55/1000</f>
        <v>4.6247466341862542E-4</v>
      </c>
      <c r="C60" s="132">
        <f t="shared" ref="C60:F60" si="20">C46*C55/1000</f>
        <v>4.9004165426956277E-4</v>
      </c>
      <c r="D60" s="132">
        <f t="shared" si="20"/>
        <v>5.3778720990776561E-4</v>
      </c>
      <c r="E60" s="132">
        <f t="shared" si="20"/>
        <v>1.3818862503719133E-4</v>
      </c>
      <c r="F60" s="132">
        <f t="shared" si="20"/>
        <v>2.5985781761380544E-4</v>
      </c>
      <c r="G60" s="134">
        <f t="shared" si="17"/>
        <v>1.8883499702469506E-3</v>
      </c>
      <c r="H60" s="1" t="s">
        <v>352</v>
      </c>
    </row>
    <row r="61" spans="1:8" x14ac:dyDescent="0.25">
      <c r="A61" s="3"/>
      <c r="B61" s="131"/>
      <c r="C61" s="131"/>
      <c r="D61" s="131"/>
      <c r="E61" s="131"/>
      <c r="F61" s="131"/>
      <c r="G61" s="17"/>
      <c r="H61" s="1"/>
    </row>
    <row r="62" spans="1:8" x14ac:dyDescent="0.25">
      <c r="A62" s="3" t="s">
        <v>342</v>
      </c>
      <c r="B62" s="130">
        <f>B57*$B411</f>
        <v>3.5940888128533174E-2</v>
      </c>
      <c r="C62" s="130">
        <f t="shared" ref="C62:F62" si="21">C57*$B411</f>
        <v>3.8083237131806016E-2</v>
      </c>
      <c r="D62" s="130">
        <f t="shared" si="21"/>
        <v>4.1793748884260642E-2</v>
      </c>
      <c r="E62" s="130">
        <f t="shared" si="21"/>
        <v>2.1478460577209167E-2</v>
      </c>
      <c r="F62" s="130">
        <f t="shared" si="21"/>
        <v>1.346310978875335E-2</v>
      </c>
      <c r="G62" s="83">
        <f t="shared" si="17"/>
        <v>0.15075944451056233</v>
      </c>
      <c r="H62" s="1" t="s">
        <v>146</v>
      </c>
    </row>
    <row r="63" spans="1:8" x14ac:dyDescent="0.25">
      <c r="A63" s="3" t="s">
        <v>344</v>
      </c>
      <c r="B63" s="130">
        <f t="shared" ref="B63:B65" si="22">B58*$B412</f>
        <v>7.7595925593454518E-2</v>
      </c>
      <c r="C63" s="130">
        <f t="shared" ref="C63:F63" si="23">C58*$B412</f>
        <v>7.5125632298439618E-2</v>
      </c>
      <c r="D63" s="130">
        <f t="shared" si="23"/>
        <v>6.3464742773345878E-2</v>
      </c>
      <c r="E63" s="130">
        <f t="shared" si="23"/>
        <v>1.5848536021112431E-2</v>
      </c>
      <c r="F63" s="130">
        <f t="shared" si="23"/>
        <v>6.5538438890710968E-2</v>
      </c>
      <c r="G63" s="83">
        <f t="shared" si="17"/>
        <v>0.29757327557706342</v>
      </c>
      <c r="H63" s="1" t="s">
        <v>146</v>
      </c>
    </row>
    <row r="64" spans="1:8" x14ac:dyDescent="0.25">
      <c r="A64" s="3" t="s">
        <v>345</v>
      </c>
      <c r="B64" s="130">
        <f t="shared" si="22"/>
        <v>0.93918963928260601</v>
      </c>
      <c r="C64" s="130">
        <f t="shared" ref="C64:F64" si="24">C59*$B413</f>
        <v>0.90929021027363033</v>
      </c>
      <c r="D64" s="130">
        <f t="shared" si="24"/>
        <v>0.76815152878967718</v>
      </c>
      <c r="E64" s="130">
        <f t="shared" si="24"/>
        <v>0.1918242577169742</v>
      </c>
      <c r="F64" s="130">
        <f t="shared" si="24"/>
        <v>0.79325070627296135</v>
      </c>
      <c r="G64" s="83">
        <f t="shared" si="17"/>
        <v>3.6017063423358495</v>
      </c>
      <c r="H64" s="1" t="s">
        <v>146</v>
      </c>
    </row>
    <row r="65" spans="1:8" x14ac:dyDescent="0.25">
      <c r="A65" s="3" t="s">
        <v>346</v>
      </c>
      <c r="B65" s="130">
        <f t="shared" si="22"/>
        <v>6.9371199512793816E-2</v>
      </c>
      <c r="C65" s="130">
        <f t="shared" ref="C65:F65" si="25">C60*$B414</f>
        <v>7.350624814043441E-2</v>
      </c>
      <c r="D65" s="130">
        <f t="shared" si="25"/>
        <v>8.0668081486164847E-2</v>
      </c>
      <c r="E65" s="130">
        <f t="shared" si="25"/>
        <v>2.0728293755578699E-2</v>
      </c>
      <c r="F65" s="130">
        <f t="shared" si="25"/>
        <v>3.8978672642070819E-2</v>
      </c>
      <c r="G65" s="83">
        <f t="shared" si="17"/>
        <v>0.28325249553704257</v>
      </c>
      <c r="H65" s="1" t="s">
        <v>146</v>
      </c>
    </row>
    <row r="66" spans="1:8" x14ac:dyDescent="0.25">
      <c r="A66" s="3"/>
      <c r="B66" s="7"/>
      <c r="C66" s="7"/>
      <c r="D66" s="7"/>
      <c r="E66" s="7"/>
      <c r="F66" s="7"/>
      <c r="G66" s="84"/>
      <c r="H66" s="1"/>
    </row>
    <row r="67" spans="1:8" x14ac:dyDescent="0.25">
      <c r="A67" s="3" t="s">
        <v>360</v>
      </c>
      <c r="B67" s="7">
        <f>B62/(B48*B49)</f>
        <v>0.32999999999999996</v>
      </c>
      <c r="C67" s="7">
        <f t="shared" ref="C67:G67" si="26">C62/(C48*C49)</f>
        <v>0.38400000000000001</v>
      </c>
      <c r="D67" s="7">
        <f t="shared" si="26"/>
        <v>0.58799999999999997</v>
      </c>
      <c r="E67" s="7">
        <f t="shared" si="26"/>
        <v>0.61520000000000008</v>
      </c>
      <c r="F67" s="7">
        <f t="shared" si="26"/>
        <v>0.16240000000000002</v>
      </c>
      <c r="G67" s="7">
        <f t="shared" si="26"/>
        <v>0.37976720392431668</v>
      </c>
      <c r="H67" s="1" t="s">
        <v>364</v>
      </c>
    </row>
    <row r="68" spans="1:8" x14ac:dyDescent="0.25">
      <c r="A68" s="3" t="s">
        <v>361</v>
      </c>
      <c r="B68" s="7">
        <f>B63/(B50*B51)</f>
        <v>1.1296541881811735</v>
      </c>
      <c r="C68" s="7">
        <f t="shared" ref="C68:G68" si="27">C63/(C50*C51)</f>
        <v>1.2010662718973057</v>
      </c>
      <c r="D68" s="7">
        <f t="shared" si="27"/>
        <v>1.415728532746154</v>
      </c>
      <c r="E68" s="7">
        <f t="shared" si="27"/>
        <v>0.71975350876518018</v>
      </c>
      <c r="F68" s="7">
        <f t="shared" si="27"/>
        <v>1.2534822646933876</v>
      </c>
      <c r="G68" s="7">
        <f t="shared" si="27"/>
        <v>1.1885249901539039</v>
      </c>
      <c r="H68" s="1" t="s">
        <v>364</v>
      </c>
    </row>
    <row r="69" spans="1:8" x14ac:dyDescent="0.25">
      <c r="A69" s="3" t="s">
        <v>362</v>
      </c>
      <c r="B69" s="7">
        <f>B64/(B52*B53)</f>
        <v>11.296541881811734</v>
      </c>
      <c r="C69" s="7">
        <f t="shared" ref="C69:G69" si="28">C64/(C52*C53)</f>
        <v>12.010662718973057</v>
      </c>
      <c r="D69" s="7">
        <f t="shared" si="28"/>
        <v>14.15728532746154</v>
      </c>
      <c r="E69" s="7">
        <f t="shared" si="28"/>
        <v>7.1975350876518007</v>
      </c>
      <c r="F69" s="7">
        <f t="shared" si="28"/>
        <v>12.534822646933875</v>
      </c>
      <c r="G69" s="7">
        <f t="shared" si="28"/>
        <v>11.885249901539041</v>
      </c>
      <c r="H69" s="1" t="s">
        <v>364</v>
      </c>
    </row>
    <row r="70" spans="1:8" x14ac:dyDescent="0.25">
      <c r="A70" s="3" t="s">
        <v>363</v>
      </c>
      <c r="B70" s="7">
        <f>B65/B55</f>
        <v>3.09375</v>
      </c>
      <c r="C70" s="7">
        <f t="shared" ref="C70:G70" si="29">C65/C55</f>
        <v>3.5999999999999996</v>
      </c>
      <c r="D70" s="7">
        <f t="shared" si="29"/>
        <v>5.5125000000000002</v>
      </c>
      <c r="E70" s="7">
        <f t="shared" si="29"/>
        <v>2.8837500000000005</v>
      </c>
      <c r="F70" s="7">
        <f t="shared" si="29"/>
        <v>2.2837499999999999</v>
      </c>
      <c r="G70" s="7">
        <f t="shared" si="29"/>
        <v>3.465672740014015</v>
      </c>
      <c r="H70" s="1" t="s">
        <v>364</v>
      </c>
    </row>
    <row r="71" spans="1:8" x14ac:dyDescent="0.25">
      <c r="A71" s="3"/>
      <c r="B71" s="7"/>
      <c r="C71" s="7"/>
      <c r="D71" s="7"/>
      <c r="E71" s="7"/>
      <c r="F71" s="7"/>
      <c r="G71" s="7"/>
      <c r="H71" s="1"/>
    </row>
    <row r="72" spans="1:8" x14ac:dyDescent="0.25">
      <c r="A72" s="3" t="s">
        <v>365</v>
      </c>
      <c r="B72" s="6">
        <f>1000*B67/$B$418</f>
        <v>16.499999999999996</v>
      </c>
      <c r="C72" s="6">
        <f t="shared" ref="C72:F72" si="30">1000*C67/$B$418</f>
        <v>19.2</v>
      </c>
      <c r="D72" s="6">
        <f t="shared" si="30"/>
        <v>29.4</v>
      </c>
      <c r="E72" s="6">
        <f t="shared" si="30"/>
        <v>30.76</v>
      </c>
      <c r="F72" s="6">
        <f t="shared" si="30"/>
        <v>8.120000000000001</v>
      </c>
      <c r="G72" s="133">
        <f>1000*G67/$B$418</f>
        <v>18.988360196215833</v>
      </c>
      <c r="H72" s="1" t="s">
        <v>156</v>
      </c>
    </row>
    <row r="73" spans="1:8" x14ac:dyDescent="0.25">
      <c r="A73" s="3" t="s">
        <v>366</v>
      </c>
      <c r="B73" s="6">
        <f t="shared" ref="B73:G73" si="31">1000*B68/$B$418</f>
        <v>56.482709409058671</v>
      </c>
      <c r="C73" s="6">
        <f t="shared" si="31"/>
        <v>60.053313594865287</v>
      </c>
      <c r="D73" s="6">
        <f t="shared" si="31"/>
        <v>70.786426637307699</v>
      </c>
      <c r="E73" s="6">
        <f t="shared" si="31"/>
        <v>35.987675438259011</v>
      </c>
      <c r="F73" s="6">
        <f t="shared" si="31"/>
        <v>62.674113234669377</v>
      </c>
      <c r="G73" s="133">
        <f t="shared" si="31"/>
        <v>59.426249507695196</v>
      </c>
      <c r="H73" s="1" t="s">
        <v>156</v>
      </c>
    </row>
    <row r="74" spans="1:8" x14ac:dyDescent="0.25">
      <c r="A74" s="3" t="s">
        <v>367</v>
      </c>
      <c r="B74" s="6">
        <f t="shared" ref="B74:G74" si="32">1000*B69/$B$418</f>
        <v>564.82709409058668</v>
      </c>
      <c r="C74" s="6">
        <f t="shared" si="32"/>
        <v>600.5331359486529</v>
      </c>
      <c r="D74" s="6">
        <f t="shared" si="32"/>
        <v>707.86426637307704</v>
      </c>
      <c r="E74" s="6">
        <f t="shared" si="32"/>
        <v>359.87675438259004</v>
      </c>
      <c r="F74" s="6">
        <f t="shared" si="32"/>
        <v>626.7411323466938</v>
      </c>
      <c r="G74" s="133">
        <f t="shared" si="32"/>
        <v>594.26249507695206</v>
      </c>
      <c r="H74" s="1" t="s">
        <v>156</v>
      </c>
    </row>
    <row r="75" spans="1:8" x14ac:dyDescent="0.25">
      <c r="A75" s="3" t="s">
        <v>368</v>
      </c>
      <c r="B75" s="6">
        <f t="shared" ref="B75:G75" si="33">1000*B70/$B$418</f>
        <v>154.6875</v>
      </c>
      <c r="C75" s="6">
        <f t="shared" si="33"/>
        <v>179.99999999999997</v>
      </c>
      <c r="D75" s="6">
        <f t="shared" si="33"/>
        <v>275.625</v>
      </c>
      <c r="E75" s="6">
        <f t="shared" si="33"/>
        <v>144.18750000000003</v>
      </c>
      <c r="F75" s="6">
        <f t="shared" si="33"/>
        <v>114.1875</v>
      </c>
      <c r="G75" s="133">
        <f t="shared" si="33"/>
        <v>173.28363700070074</v>
      </c>
      <c r="H75" s="1" t="s">
        <v>156</v>
      </c>
    </row>
    <row r="76" spans="1:8" x14ac:dyDescent="0.25">
      <c r="A76" s="3"/>
      <c r="B76" s="16"/>
      <c r="C76" s="16"/>
      <c r="D76" s="16"/>
      <c r="E76" s="16"/>
      <c r="F76" s="16"/>
      <c r="G76" s="17"/>
      <c r="H76" s="1"/>
    </row>
    <row r="77" spans="1:8" x14ac:dyDescent="0.25">
      <c r="A77" s="3" t="s">
        <v>351</v>
      </c>
      <c r="B77" s="7">
        <f>SUM(B62:B65)</f>
        <v>1.1220976525173876</v>
      </c>
      <c r="C77" s="7">
        <f t="shared" ref="C77:F77" si="34">SUM(C62:C65)</f>
        <v>1.0960053278443105</v>
      </c>
      <c r="D77" s="7">
        <f t="shared" si="34"/>
        <v>0.95407810193344855</v>
      </c>
      <c r="E77" s="7">
        <f t="shared" si="34"/>
        <v>0.24987954807087451</v>
      </c>
      <c r="F77" s="7">
        <f t="shared" si="34"/>
        <v>0.91123092759449642</v>
      </c>
      <c r="G77" s="55">
        <f t="shared" si="17"/>
        <v>4.3332915579605178</v>
      </c>
      <c r="H77" s="1" t="s">
        <v>146</v>
      </c>
    </row>
    <row r="78" spans="1:8" x14ac:dyDescent="0.25">
      <c r="A78" s="3"/>
      <c r="B78" s="16"/>
      <c r="C78" s="16"/>
      <c r="D78" s="16"/>
      <c r="E78" s="16"/>
      <c r="F78" s="16"/>
      <c r="G78" s="17"/>
      <c r="H78" s="1"/>
    </row>
    <row r="79" spans="1:8" x14ac:dyDescent="0.25">
      <c r="A79" s="3" t="s">
        <v>80</v>
      </c>
      <c r="B79" s="72">
        <v>3.64</v>
      </c>
      <c r="C79" s="72">
        <v>3.64</v>
      </c>
      <c r="D79" s="72">
        <v>3.64</v>
      </c>
      <c r="E79" s="72">
        <v>3.64</v>
      </c>
      <c r="F79" s="72">
        <v>3.64</v>
      </c>
      <c r="G79" s="23">
        <f>G80/G20</f>
        <v>3.6399999999999992</v>
      </c>
      <c r="H79" s="1" t="s">
        <v>82</v>
      </c>
    </row>
    <row r="80" spans="1:8" x14ac:dyDescent="0.25">
      <c r="A80" s="3" t="s">
        <v>81</v>
      </c>
      <c r="B80" s="56">
        <f>B79*B20</f>
        <v>1.1659967271645344</v>
      </c>
      <c r="C80" s="56">
        <f>C79*C20</f>
        <v>1.0617569175840524</v>
      </c>
      <c r="D80" s="56">
        <f>D79*D20</f>
        <v>0.76095060993751862</v>
      </c>
      <c r="E80" s="56">
        <f>E79*E20</f>
        <v>0.37377417435287114</v>
      </c>
      <c r="F80" s="56">
        <f>F79*F20</f>
        <v>0.88752752157096104</v>
      </c>
      <c r="G80" s="53">
        <f>SUM(B80:F80)</f>
        <v>4.2500059506099372</v>
      </c>
      <c r="H80" s="1" t="s">
        <v>63</v>
      </c>
    </row>
    <row r="81" spans="1:8" x14ac:dyDescent="0.25">
      <c r="A81" s="3"/>
      <c r="B81" s="16"/>
      <c r="C81" s="16"/>
      <c r="D81" s="16"/>
      <c r="E81" s="16"/>
      <c r="F81" s="16"/>
      <c r="G81" s="17"/>
      <c r="H81" s="1"/>
    </row>
    <row r="82" spans="1:8" x14ac:dyDescent="0.25">
      <c r="A82" s="3"/>
    </row>
    <row r="83" spans="1:8" ht="18.75" x14ac:dyDescent="0.3">
      <c r="A83" s="33" t="s">
        <v>16</v>
      </c>
    </row>
    <row r="84" spans="1:8" x14ac:dyDescent="0.25">
      <c r="A84" s="3"/>
    </row>
    <row r="85" spans="1:8" x14ac:dyDescent="0.25">
      <c r="A85" s="3" t="s">
        <v>17</v>
      </c>
      <c r="B85" t="s">
        <v>18</v>
      </c>
      <c r="C85" t="s">
        <v>19</v>
      </c>
      <c r="D85" t="s">
        <v>20</v>
      </c>
      <c r="E85" t="s">
        <v>21</v>
      </c>
      <c r="F85" t="s">
        <v>23</v>
      </c>
      <c r="G85" s="3" t="s">
        <v>13</v>
      </c>
    </row>
    <row r="86" spans="1:8" x14ac:dyDescent="0.25">
      <c r="A86" s="3"/>
      <c r="E86" t="s">
        <v>22</v>
      </c>
      <c r="F86" t="s">
        <v>24</v>
      </c>
    </row>
    <row r="87" spans="1:8" x14ac:dyDescent="0.25">
      <c r="A87" s="3" t="s">
        <v>4</v>
      </c>
      <c r="B87" s="4">
        <f>B89/B88</f>
        <v>193.43065693430657</v>
      </c>
      <c r="C87" s="4">
        <f t="shared" ref="C87:G87" si="35">C89/C88</f>
        <v>796.93486590038322</v>
      </c>
      <c r="D87" s="4">
        <f t="shared" si="35"/>
        <v>771.84466019417482</v>
      </c>
      <c r="E87" s="4">
        <f t="shared" si="35"/>
        <v>280.00000000000006</v>
      </c>
      <c r="F87" s="4">
        <f t="shared" si="35"/>
        <v>106.25</v>
      </c>
      <c r="G87" s="4">
        <f t="shared" si="35"/>
        <v>338.71866295264624</v>
      </c>
    </row>
    <row r="88" spans="1:8" x14ac:dyDescent="0.25">
      <c r="A88" s="3" t="s">
        <v>12</v>
      </c>
      <c r="B88" s="109">
        <f>(UK!B87/UK!$B$6)*$B$6</f>
        <v>2.2418922939601311E-2</v>
      </c>
      <c r="C88" s="109">
        <f>(UK!C87/UK!$B$6)*$B$6</f>
        <v>1.0677625706634931E-2</v>
      </c>
      <c r="D88" s="109">
        <f>(UK!D87/UK!$B$6)*$B$6</f>
        <v>8.4275513240107108E-3</v>
      </c>
      <c r="E88" s="109">
        <f>(UK!E87/UK!$B$6)*$B$6</f>
        <v>1.2273132996132103E-2</v>
      </c>
      <c r="F88" s="109">
        <f>(UK!F87/UK!$B$6)*$B$6</f>
        <v>1.9637012793811366E-2</v>
      </c>
      <c r="G88" s="110">
        <f>SUM(B88:F88)</f>
        <v>7.343424576019042E-2</v>
      </c>
    </row>
    <row r="89" spans="1:8" x14ac:dyDescent="0.25">
      <c r="A89" s="3" t="s">
        <v>15</v>
      </c>
      <c r="B89" s="111">
        <f>(UK!B88/UK!$B$6)*$B$6</f>
        <v>4.3365069919666768</v>
      </c>
      <c r="C89" s="111">
        <f>(UK!C88/UK!$B$6)*$B$6</f>
        <v>8.509372210651593</v>
      </c>
      <c r="D89" s="111">
        <f>(UK!D88/UK!$B$6)*$B$6</f>
        <v>6.5047604879500156</v>
      </c>
      <c r="E89" s="111">
        <f>(UK!E88/UK!$B$6)*$B$6</f>
        <v>3.4364772389169893</v>
      </c>
      <c r="F89" s="111">
        <f>(UK!F88/UK!$B$6)*$B$6</f>
        <v>2.0864326093424577</v>
      </c>
      <c r="G89" s="112">
        <f>SUM(B89:F89)</f>
        <v>24.873549538827731</v>
      </c>
    </row>
    <row r="90" spans="1:8" x14ac:dyDescent="0.25">
      <c r="A90" s="3" t="s">
        <v>6</v>
      </c>
      <c r="B90" s="68">
        <v>1</v>
      </c>
      <c r="C90" s="68">
        <v>1</v>
      </c>
      <c r="D90" s="68">
        <v>1</v>
      </c>
      <c r="E90" s="68">
        <v>1</v>
      </c>
      <c r="F90" s="68">
        <v>1</v>
      </c>
      <c r="G90" s="9">
        <f>G89/G91</f>
        <v>1</v>
      </c>
    </row>
    <row r="91" spans="1:8" x14ac:dyDescent="0.25">
      <c r="A91" s="3" t="s">
        <v>41</v>
      </c>
      <c r="B91" s="52">
        <f>B89/B90</f>
        <v>4.3365069919666768</v>
      </c>
      <c r="C91" s="56">
        <f t="shared" ref="C91:F91" si="36">C89/C90</f>
        <v>8.509372210651593</v>
      </c>
      <c r="D91" s="56">
        <f t="shared" si="36"/>
        <v>6.5047604879500156</v>
      </c>
      <c r="E91" s="56">
        <f t="shared" si="36"/>
        <v>3.4364772389169893</v>
      </c>
      <c r="F91" s="56">
        <f t="shared" si="36"/>
        <v>2.0864326093424577</v>
      </c>
      <c r="G91" s="52">
        <f>SUM(B91:F91)</f>
        <v>24.873549538827731</v>
      </c>
    </row>
    <row r="92" spans="1:8" x14ac:dyDescent="0.25">
      <c r="A92" s="27" t="s">
        <v>64</v>
      </c>
      <c r="B92" s="52">
        <f>B91*$B$347</f>
        <v>0.89237955195599616</v>
      </c>
      <c r="C92" s="52">
        <f>C91*$B$347</f>
        <v>1.7510844038381812</v>
      </c>
      <c r="D92" s="52">
        <f>D91*$B$347</f>
        <v>1.3385693279339943</v>
      </c>
      <c r="E92" s="52">
        <f>E91*$B$347</f>
        <v>0.70716870155003475</v>
      </c>
      <c r="F92" s="52">
        <f>F91*$B$347</f>
        <v>0.42935242594109246</v>
      </c>
      <c r="G92" s="53">
        <f>SUM(B92:F92)</f>
        <v>5.1185544112192991</v>
      </c>
      <c r="H92" s="1" t="s">
        <v>62</v>
      </c>
    </row>
    <row r="93" spans="1:8" x14ac:dyDescent="0.25">
      <c r="A93" s="27" t="s">
        <v>65</v>
      </c>
      <c r="B93" s="52">
        <f>B92*$F$12/1000</f>
        <v>0.68088559814242511</v>
      </c>
      <c r="C93" s="52">
        <f t="shared" ref="C93:F93" si="37">C92*$F$12/1000</f>
        <v>1.3360774001285323</v>
      </c>
      <c r="D93" s="52">
        <f t="shared" si="37"/>
        <v>1.0213283972136378</v>
      </c>
      <c r="E93" s="52">
        <f t="shared" si="37"/>
        <v>0.5395697192826765</v>
      </c>
      <c r="F93" s="52">
        <f t="shared" si="37"/>
        <v>0.32759590099305352</v>
      </c>
      <c r="G93" s="53">
        <f>SUM(B93:F93)</f>
        <v>3.9054570157603252</v>
      </c>
      <c r="H93" s="1" t="s">
        <v>63</v>
      </c>
    </row>
    <row r="94" spans="1:8" x14ac:dyDescent="0.25">
      <c r="A94" s="27" t="s">
        <v>78</v>
      </c>
      <c r="B94" s="15">
        <f>B92/B88</f>
        <v>39.80474683641809</v>
      </c>
      <c r="C94" s="15">
        <f t="shared" ref="C94:G94" si="38">C92/C88</f>
        <v>163.99567206687919</v>
      </c>
      <c r="D94" s="15">
        <f t="shared" si="38"/>
        <v>158.83253349289163</v>
      </c>
      <c r="E94" s="15">
        <f t="shared" si="38"/>
        <v>57.619248628113134</v>
      </c>
      <c r="F94" s="15">
        <f t="shared" si="38"/>
        <v>21.864447024060784</v>
      </c>
      <c r="G94" s="17">
        <f t="shared" si="38"/>
        <v>69.702553055894924</v>
      </c>
      <c r="H94" s="1" t="s">
        <v>77</v>
      </c>
    </row>
    <row r="95" spans="1:8" x14ac:dyDescent="0.25">
      <c r="A95" s="27" t="s">
        <v>147</v>
      </c>
      <c r="B95" s="37">
        <v>750</v>
      </c>
      <c r="C95" s="17" t="s">
        <v>149</v>
      </c>
      <c r="D95" s="15"/>
      <c r="E95" s="15"/>
      <c r="F95" s="15"/>
      <c r="G95" s="17"/>
      <c r="H95" s="1"/>
    </row>
    <row r="96" spans="1:8" x14ac:dyDescent="0.25">
      <c r="A96" s="27" t="s">
        <v>173</v>
      </c>
      <c r="B96" s="54">
        <f>B88*B94*$B95/1000</f>
        <v>0.66928466396699715</v>
      </c>
      <c r="C96" s="54">
        <f t="shared" ref="C96:F96" si="39">C88*C94*$B95/1000</f>
        <v>1.3133133028786361</v>
      </c>
      <c r="D96" s="54">
        <f t="shared" si="39"/>
        <v>1.0039269959504957</v>
      </c>
      <c r="E96" s="54">
        <f t="shared" si="39"/>
        <v>0.53037652616252606</v>
      </c>
      <c r="F96" s="54">
        <f t="shared" si="39"/>
        <v>0.32201431945581938</v>
      </c>
      <c r="G96" s="54">
        <f>SUM(B96:F96)</f>
        <v>3.8389158084144746</v>
      </c>
      <c r="H96" s="1" t="s">
        <v>146</v>
      </c>
    </row>
    <row r="97" spans="1:8" x14ac:dyDescent="0.25">
      <c r="A97" s="3"/>
      <c r="B97" s="10"/>
      <c r="C97" s="11"/>
      <c r="D97" s="11"/>
      <c r="E97" s="11"/>
      <c r="F97" s="11"/>
      <c r="G97" s="10"/>
    </row>
    <row r="98" spans="1:8" x14ac:dyDescent="0.25">
      <c r="A98" s="27" t="s">
        <v>163</v>
      </c>
      <c r="B98" s="39">
        <f t="shared" ref="B98:G98" si="40">100*$B$367*B96/B93</f>
        <v>6.8807339449541294</v>
      </c>
      <c r="C98" s="39">
        <f t="shared" si="40"/>
        <v>6.8807339449541303</v>
      </c>
      <c r="D98" s="39">
        <f t="shared" si="40"/>
        <v>6.8807339449541285</v>
      </c>
      <c r="E98" s="39">
        <f t="shared" si="40"/>
        <v>6.8807339449541294</v>
      </c>
      <c r="F98" s="39">
        <f t="shared" si="40"/>
        <v>6.8807339449541312</v>
      </c>
      <c r="G98" s="39">
        <f t="shared" si="40"/>
        <v>6.8807339449541303</v>
      </c>
      <c r="H98" s="1" t="s">
        <v>161</v>
      </c>
    </row>
    <row r="99" spans="1:8" x14ac:dyDescent="0.25">
      <c r="B99" s="10"/>
      <c r="C99" s="11"/>
      <c r="D99" s="11"/>
      <c r="E99" s="11"/>
      <c r="F99" s="11"/>
      <c r="G99" s="10"/>
    </row>
    <row r="100" spans="1:8" x14ac:dyDescent="0.25">
      <c r="A100" s="3" t="s">
        <v>14</v>
      </c>
      <c r="B100" s="71" t="s">
        <v>287</v>
      </c>
      <c r="C100" s="71" t="s">
        <v>287</v>
      </c>
      <c r="D100" s="71" t="s">
        <v>287</v>
      </c>
      <c r="E100" s="71" t="s">
        <v>287</v>
      </c>
      <c r="F100" s="71" t="s">
        <v>287</v>
      </c>
      <c r="G100" s="71" t="s">
        <v>287</v>
      </c>
    </row>
    <row r="101" spans="1:8" x14ac:dyDescent="0.25">
      <c r="A101" s="3" t="s">
        <v>98</v>
      </c>
      <c r="B101" s="68">
        <v>100</v>
      </c>
      <c r="C101" s="68">
        <v>125</v>
      </c>
      <c r="D101" s="68">
        <v>100</v>
      </c>
      <c r="E101" s="68">
        <v>100</v>
      </c>
      <c r="F101" s="68">
        <v>100</v>
      </c>
      <c r="G101" s="22">
        <f>G102*B358*1000/G89</f>
        <v>108.55263157894738</v>
      </c>
      <c r="H101" s="1" t="s">
        <v>79</v>
      </c>
    </row>
    <row r="102" spans="1:8" x14ac:dyDescent="0.25">
      <c r="A102" s="3" t="s">
        <v>120</v>
      </c>
      <c r="B102" s="57">
        <f>B89*B101/($B$358*1000)</f>
        <v>0.14455023306555589</v>
      </c>
      <c r="C102" s="57">
        <f>C89*C101/($B$358*1000)</f>
        <v>0.35455717544381637</v>
      </c>
      <c r="D102" s="57">
        <f>D89*D101/($B$358*1000)</f>
        <v>0.21682534959833386</v>
      </c>
      <c r="E102" s="57">
        <f>E89*E101/($B$358*1000)</f>
        <v>0.11454924129723298</v>
      </c>
      <c r="F102" s="57">
        <f>F89*F101/($B$358*1000)</f>
        <v>6.9547753644748592E-2</v>
      </c>
      <c r="G102" s="61">
        <f>SUM(B102:F102)</f>
        <v>0.9000297530496878</v>
      </c>
      <c r="H102" s="1" t="s">
        <v>63</v>
      </c>
    </row>
    <row r="103" spans="1:8" x14ac:dyDescent="0.25">
      <c r="A103" s="3" t="s">
        <v>246</v>
      </c>
      <c r="B103" s="7">
        <f>B102*($B$358-1)</f>
        <v>0.28910046613111179</v>
      </c>
      <c r="C103" s="7">
        <f>C102*($B$358-1)</f>
        <v>0.70911435088763275</v>
      </c>
      <c r="D103" s="7">
        <f>D102*($B$358-1)</f>
        <v>0.43365069919666771</v>
      </c>
      <c r="E103" s="7">
        <f>E102*($B$358-1)</f>
        <v>0.22909848259446597</v>
      </c>
      <c r="F103" s="7">
        <f>F102*($B$358-1)</f>
        <v>0.13909550728949718</v>
      </c>
      <c r="G103" s="93">
        <f t="shared" ref="G103:G104" si="41">SUM(B103:F103)</f>
        <v>1.8000595060993756</v>
      </c>
      <c r="H103" s="1" t="s">
        <v>63</v>
      </c>
    </row>
    <row r="104" spans="1:8" x14ac:dyDescent="0.25">
      <c r="A104" s="3" t="s">
        <v>248</v>
      </c>
      <c r="B104" s="98">
        <f>B103*$B$269/100</f>
        <v>1.2293556951733333E-2</v>
      </c>
      <c r="C104" s="98">
        <f t="shared" ref="C104" si="42">C103*$B$269/100</f>
        <v>3.0154007617459122E-2</v>
      </c>
      <c r="D104" s="98">
        <f t="shared" ref="D104" si="43">D103*$B$269/100</f>
        <v>1.8440335427600003E-2</v>
      </c>
      <c r="E104" s="98">
        <f t="shared" ref="E104" si="44">E103*$B$269/100</f>
        <v>9.7420639994867941E-3</v>
      </c>
      <c r="F104" s="98">
        <f t="shared" ref="F104" si="45">F103*$B$269/100</f>
        <v>5.9148245711169809E-3</v>
      </c>
      <c r="G104" s="99">
        <f t="shared" si="41"/>
        <v>7.6544788567396244E-2</v>
      </c>
      <c r="H104" s="1" t="s">
        <v>213</v>
      </c>
    </row>
    <row r="105" spans="1:8" x14ac:dyDescent="0.25">
      <c r="A105" s="3" t="s">
        <v>286</v>
      </c>
      <c r="B105" s="76">
        <v>10000</v>
      </c>
      <c r="C105" s="76">
        <v>40000</v>
      </c>
      <c r="D105" s="76">
        <v>35000</v>
      </c>
      <c r="E105" s="76">
        <v>15000</v>
      </c>
      <c r="F105" s="5">
        <v>7000</v>
      </c>
      <c r="G105" s="85">
        <f>1000*G106/G88</f>
        <v>17264.623955431754</v>
      </c>
      <c r="H105" s="1"/>
    </row>
    <row r="106" spans="1:8" x14ac:dyDescent="0.25">
      <c r="A106" s="3" t="s">
        <v>249</v>
      </c>
      <c r="B106" s="16">
        <f>B88*B105/1000</f>
        <v>0.2241892293960131</v>
      </c>
      <c r="C106" s="16">
        <f t="shared" ref="C106:F106" si="46">C88*C105/1000</f>
        <v>0.4271050282653972</v>
      </c>
      <c r="D106" s="16">
        <f t="shared" si="46"/>
        <v>0.29496429634037485</v>
      </c>
      <c r="E106" s="16">
        <f t="shared" si="46"/>
        <v>0.18409699494198153</v>
      </c>
      <c r="F106" s="16">
        <f t="shared" si="46"/>
        <v>0.13745908955667957</v>
      </c>
      <c r="G106" s="84">
        <f t="shared" ref="G106" si="47">SUM(B106:F106)</f>
        <v>1.2678146385004463</v>
      </c>
      <c r="H106" s="1" t="s">
        <v>252</v>
      </c>
    </row>
    <row r="107" spans="1:8" x14ac:dyDescent="0.25">
      <c r="A107" s="3" t="s">
        <v>250</v>
      </c>
      <c r="B107" s="6">
        <f>1000*B104/B88</f>
        <v>548.35626960551724</v>
      </c>
      <c r="C107" s="6">
        <f t="shared" ref="C107:G107" si="48">1000*C104/C88</f>
        <v>2824.0367705267881</v>
      </c>
      <c r="D107" s="6">
        <f t="shared" si="48"/>
        <v>2188.1012311443465</v>
      </c>
      <c r="E107" s="6">
        <f t="shared" si="48"/>
        <v>793.77156611576038</v>
      </c>
      <c r="F107" s="6">
        <f t="shared" si="48"/>
        <v>301.20796035642684</v>
      </c>
      <c r="G107" s="79">
        <f t="shared" si="48"/>
        <v>1042.3582046088377</v>
      </c>
      <c r="H107" s="1" t="s">
        <v>156</v>
      </c>
    </row>
    <row r="108" spans="1:8" x14ac:dyDescent="0.25">
      <c r="A108" s="3" t="s">
        <v>251</v>
      </c>
      <c r="B108" s="14">
        <f>B107/B105</f>
        <v>5.4835626960551727E-2</v>
      </c>
      <c r="C108" s="14">
        <f t="shared" ref="C108:G108" si="49">C107/C105</f>
        <v>7.0600919263169706E-2</v>
      </c>
      <c r="D108" s="14">
        <f t="shared" si="49"/>
        <v>6.2517178032695617E-2</v>
      </c>
      <c r="E108" s="14">
        <f t="shared" si="49"/>
        <v>5.291810440771736E-2</v>
      </c>
      <c r="F108" s="14">
        <f t="shared" si="49"/>
        <v>4.3029708622346688E-2</v>
      </c>
      <c r="G108" s="43">
        <f t="shared" si="49"/>
        <v>6.0375378421195988E-2</v>
      </c>
      <c r="H108" s="1" t="s">
        <v>156</v>
      </c>
    </row>
    <row r="109" spans="1:8" x14ac:dyDescent="0.25">
      <c r="A109" s="3"/>
      <c r="B109" s="16"/>
      <c r="C109" s="16"/>
      <c r="D109" s="16"/>
      <c r="E109" s="16"/>
      <c r="F109" s="16"/>
      <c r="G109" s="17"/>
      <c r="H109" s="1"/>
    </row>
    <row r="110" spans="1:8" x14ac:dyDescent="0.25">
      <c r="A110" s="3" t="s">
        <v>83</v>
      </c>
      <c r="B110" s="7">
        <v>68.3</v>
      </c>
      <c r="C110" s="16">
        <v>352.5</v>
      </c>
      <c r="D110" s="7">
        <v>68.3</v>
      </c>
      <c r="E110" s="7">
        <v>68.3</v>
      </c>
      <c r="F110" s="7">
        <v>58.3</v>
      </c>
      <c r="G110" s="23">
        <f>G111/G88</f>
        <v>106.94969359331476</v>
      </c>
      <c r="H110" s="1" t="s">
        <v>82</v>
      </c>
    </row>
    <row r="111" spans="1:8" x14ac:dyDescent="0.25">
      <c r="A111" s="3" t="s">
        <v>84</v>
      </c>
      <c r="B111" s="57">
        <f>B110*B88</f>
        <v>1.5312124367747695</v>
      </c>
      <c r="C111" s="57">
        <f t="shared" ref="C111:F111" si="50">C110*C88</f>
        <v>3.7638630615888129</v>
      </c>
      <c r="D111" s="57">
        <f t="shared" si="50"/>
        <v>0.57560175542993153</v>
      </c>
      <c r="E111" s="57">
        <f t="shared" si="50"/>
        <v>0.83825498363582263</v>
      </c>
      <c r="F111" s="57">
        <f t="shared" si="50"/>
        <v>1.1448378458792026</v>
      </c>
      <c r="G111" s="61">
        <f>SUM(B111:F111)</f>
        <v>7.8537700833085395</v>
      </c>
      <c r="H111" s="1" t="s">
        <v>63</v>
      </c>
    </row>
    <row r="112" spans="1:8" x14ac:dyDescent="0.25">
      <c r="A112" s="3"/>
      <c r="B112" s="16"/>
      <c r="C112" s="16"/>
      <c r="D112" s="16"/>
      <c r="E112" s="16"/>
      <c r="F112" s="16"/>
      <c r="G112" s="17"/>
      <c r="H112" s="1"/>
    </row>
    <row r="113" spans="1:8" x14ac:dyDescent="0.25">
      <c r="A113" s="3"/>
    </row>
    <row r="114" spans="1:8" ht="18.75" x14ac:dyDescent="0.3">
      <c r="A114" s="33" t="s">
        <v>43</v>
      </c>
    </row>
    <row r="115" spans="1:8" x14ac:dyDescent="0.25">
      <c r="A115" s="3"/>
    </row>
    <row r="116" spans="1:8" x14ac:dyDescent="0.25">
      <c r="A116" s="3" t="s">
        <v>52</v>
      </c>
      <c r="B116" s="73">
        <f>(UK!B117/UK!$B$6)*$B$6</f>
        <v>204.55221660220172</v>
      </c>
    </row>
    <row r="117" spans="1:8" x14ac:dyDescent="0.25">
      <c r="A117" s="27" t="s">
        <v>67</v>
      </c>
      <c r="B117" s="60">
        <f>B116*B345/1000</f>
        <v>0.77451810169765711</v>
      </c>
      <c r="C117" s="1" t="s">
        <v>62</v>
      </c>
    </row>
    <row r="118" spans="1:8" x14ac:dyDescent="0.25">
      <c r="A118" s="27" t="s">
        <v>68</v>
      </c>
      <c r="B118" s="61">
        <f>B117*$F$13/1000</f>
        <v>0.59473308734108843</v>
      </c>
      <c r="C118" s="1" t="s">
        <v>63</v>
      </c>
    </row>
    <row r="119" spans="1:8" x14ac:dyDescent="0.25">
      <c r="A119" s="27" t="s">
        <v>148</v>
      </c>
      <c r="B119" s="37">
        <v>1050</v>
      </c>
      <c r="C119" s="1" t="s">
        <v>149</v>
      </c>
    </row>
    <row r="120" spans="1:8" x14ac:dyDescent="0.25">
      <c r="A120" s="27" t="s">
        <v>174</v>
      </c>
      <c r="B120" s="58">
        <f>B117*B119/1000</f>
        <v>0.81324400678253994</v>
      </c>
      <c r="C120" s="1" t="s">
        <v>146</v>
      </c>
    </row>
    <row r="121" spans="1:8" x14ac:dyDescent="0.25">
      <c r="A121" s="27"/>
      <c r="B121" s="38"/>
      <c r="C121" s="1"/>
    </row>
    <row r="122" spans="1:8" x14ac:dyDescent="0.25">
      <c r="A122" s="27" t="s">
        <v>164</v>
      </c>
      <c r="B122" s="39">
        <f>100*$B$367*B120/B117</f>
        <v>7.3500000000000005</v>
      </c>
      <c r="C122" s="39" t="s">
        <v>161</v>
      </c>
      <c r="D122" s="39"/>
      <c r="E122" s="39"/>
      <c r="F122" s="39"/>
      <c r="G122" s="39"/>
      <c r="H122" s="1"/>
    </row>
    <row r="125" spans="1:8" ht="18.75" x14ac:dyDescent="0.3">
      <c r="A125" s="33" t="s">
        <v>55</v>
      </c>
    </row>
    <row r="126" spans="1:8" x14ac:dyDescent="0.25">
      <c r="A126" s="27"/>
    </row>
    <row r="127" spans="1:8" x14ac:dyDescent="0.25">
      <c r="A127" s="3" t="s">
        <v>57</v>
      </c>
      <c r="B127" s="73">
        <f>(UK!B128/UK!$B$6)*$B$6</f>
        <v>110.66274918179113</v>
      </c>
    </row>
    <row r="128" spans="1:8" x14ac:dyDescent="0.25">
      <c r="A128" s="25" t="s">
        <v>58</v>
      </c>
      <c r="B128" s="13">
        <v>0.9</v>
      </c>
    </row>
    <row r="129" spans="1:3" x14ac:dyDescent="0.25">
      <c r="A129" s="27" t="s">
        <v>69</v>
      </c>
      <c r="B129" s="60">
        <f>B128*B127*B354*B347/1000</f>
        <v>0.67634372296996981</v>
      </c>
      <c r="C129" s="1" t="s">
        <v>62</v>
      </c>
    </row>
    <row r="130" spans="1:3" x14ac:dyDescent="0.25">
      <c r="A130" s="27" t="s">
        <v>70</v>
      </c>
      <c r="B130" s="61">
        <f>B129*$F$13/1000</f>
        <v>0.51934743627556557</v>
      </c>
      <c r="C130" s="1" t="s">
        <v>63</v>
      </c>
    </row>
    <row r="131" spans="1:3" x14ac:dyDescent="0.25">
      <c r="A131" s="27" t="s">
        <v>150</v>
      </c>
      <c r="B131" s="37">
        <v>1100</v>
      </c>
      <c r="C131" s="1" t="s">
        <v>149</v>
      </c>
    </row>
    <row r="132" spans="1:3" x14ac:dyDescent="0.25">
      <c r="A132" s="27" t="s">
        <v>151</v>
      </c>
      <c r="B132" s="58">
        <f>B129*B131/1000</f>
        <v>0.74397809526696679</v>
      </c>
      <c r="C132" s="1" t="s">
        <v>146</v>
      </c>
    </row>
    <row r="133" spans="1:3" x14ac:dyDescent="0.25">
      <c r="A133" s="1"/>
      <c r="B133" s="38"/>
      <c r="C133" s="1"/>
    </row>
    <row r="134" spans="1:3" x14ac:dyDescent="0.25">
      <c r="A134" s="27" t="s">
        <v>165</v>
      </c>
      <c r="B134" s="39">
        <f>100*$B$367*B132/B129</f>
        <v>7.7000000000000011</v>
      </c>
      <c r="C134" s="39" t="s">
        <v>161</v>
      </c>
    </row>
    <row r="135" spans="1:3" x14ac:dyDescent="0.25">
      <c r="A135" s="3"/>
    </row>
    <row r="136" spans="1:3" x14ac:dyDescent="0.25">
      <c r="A136" s="3" t="s">
        <v>61</v>
      </c>
      <c r="B136" s="73">
        <f>(UK!B137/UK!$B$6)*$B$6</f>
        <v>325.23802439750079</v>
      </c>
    </row>
    <row r="137" spans="1:3" x14ac:dyDescent="0.25">
      <c r="A137" s="25" t="s">
        <v>58</v>
      </c>
      <c r="B137" s="13">
        <v>0.8</v>
      </c>
    </row>
    <row r="138" spans="1:3" x14ac:dyDescent="0.25">
      <c r="A138" s="27" t="s">
        <v>71</v>
      </c>
      <c r="B138" s="60">
        <f>B137*B136*B356*B347/1000</f>
        <v>1.0173126892298359</v>
      </c>
      <c r="C138" s="1" t="s">
        <v>62</v>
      </c>
    </row>
    <row r="139" spans="1:3" x14ac:dyDescent="0.25">
      <c r="A139" s="27" t="s">
        <v>72</v>
      </c>
      <c r="B139" s="61">
        <f>B138*$F$13/1000</f>
        <v>0.78116898124236023</v>
      </c>
      <c r="C139" s="1" t="s">
        <v>63</v>
      </c>
    </row>
    <row r="140" spans="1:3" x14ac:dyDescent="0.25">
      <c r="A140" s="27" t="s">
        <v>152</v>
      </c>
      <c r="B140" s="37">
        <v>1100</v>
      </c>
      <c r="C140" s="1" t="s">
        <v>149</v>
      </c>
    </row>
    <row r="141" spans="1:3" x14ac:dyDescent="0.25">
      <c r="A141" s="27" t="s">
        <v>153</v>
      </c>
      <c r="B141" s="58">
        <f>B138*B140/1000</f>
        <v>1.1190439581528193</v>
      </c>
      <c r="C141" s="1" t="s">
        <v>146</v>
      </c>
    </row>
    <row r="142" spans="1:3" x14ac:dyDescent="0.25">
      <c r="A142" s="1"/>
      <c r="B142" s="38"/>
      <c r="C142" s="1"/>
    </row>
    <row r="143" spans="1:3" x14ac:dyDescent="0.25">
      <c r="A143" s="27" t="s">
        <v>166</v>
      </c>
      <c r="B143" s="39">
        <f>100*$B$367*B141/B138</f>
        <v>7.7</v>
      </c>
      <c r="C143" s="39" t="s">
        <v>161</v>
      </c>
    </row>
    <row r="144" spans="1:3" x14ac:dyDescent="0.25">
      <c r="A144" s="27"/>
      <c r="B144" s="18"/>
      <c r="C144" s="1"/>
    </row>
    <row r="145" spans="1:7" x14ac:dyDescent="0.25">
      <c r="A145" s="27"/>
      <c r="B145" s="18"/>
      <c r="C145" s="1"/>
    </row>
    <row r="146" spans="1:7" x14ac:dyDescent="0.25">
      <c r="A146" s="27" t="s">
        <v>73</v>
      </c>
      <c r="B146" s="18">
        <f>G24+G92+B117+B129+B138</f>
        <v>18.992514004279471</v>
      </c>
      <c r="C146" s="1" t="s">
        <v>62</v>
      </c>
    </row>
    <row r="147" spans="1:7" x14ac:dyDescent="0.25">
      <c r="A147" s="27" t="s">
        <v>74</v>
      </c>
      <c r="B147" s="18">
        <f>G25+G93+B118+B130+B139</f>
        <v>13.856042232777998</v>
      </c>
      <c r="C147" s="1" t="s">
        <v>63</v>
      </c>
    </row>
    <row r="148" spans="1:7" x14ac:dyDescent="0.25">
      <c r="A148" s="27"/>
      <c r="B148" s="18"/>
      <c r="C148" s="1"/>
    </row>
    <row r="149" spans="1:7" ht="18.75" x14ac:dyDescent="0.3">
      <c r="A149" s="33" t="s">
        <v>85</v>
      </c>
      <c r="B149" s="18"/>
      <c r="C149" s="1"/>
      <c r="G149" s="24"/>
    </row>
    <row r="150" spans="1:7" ht="18.75" x14ac:dyDescent="0.3">
      <c r="A150" s="33"/>
      <c r="B150" s="18"/>
      <c r="C150" s="1"/>
      <c r="G150" s="24"/>
    </row>
    <row r="151" spans="1:7" ht="15.75" x14ac:dyDescent="0.25">
      <c r="A151" s="27" t="s">
        <v>86</v>
      </c>
      <c r="B151" s="28" t="s">
        <v>87</v>
      </c>
      <c r="C151" s="27" t="s">
        <v>269</v>
      </c>
      <c r="D151" s="27" t="s">
        <v>88</v>
      </c>
      <c r="E151" s="27" t="s">
        <v>89</v>
      </c>
      <c r="F151" s="27" t="s">
        <v>13</v>
      </c>
      <c r="G151" s="24"/>
    </row>
    <row r="152" spans="1:7" ht="15.75" x14ac:dyDescent="0.25">
      <c r="A152" s="25" t="s">
        <v>94</v>
      </c>
      <c r="B152" s="74">
        <f>(UK!B153/UK!$B$6)*$B$6</f>
        <v>1.3091341862540911</v>
      </c>
      <c r="C152" s="74">
        <f>(UK!C153/UK!$B$6)*$B$6</f>
        <v>0.18000595060993754</v>
      </c>
      <c r="D152" s="74">
        <f>(UK!D153/UK!$B$6)*$B$6</f>
        <v>2.0455221660220173E-2</v>
      </c>
      <c r="E152" s="74">
        <f>(UK!E153/UK!$B$6)*$B$6</f>
        <v>6.1365664980660515E-3</v>
      </c>
      <c r="F152" s="7">
        <f>SUM(B152:E152)</f>
        <v>1.5157319250223149</v>
      </c>
      <c r="G152" s="24" t="s">
        <v>92</v>
      </c>
    </row>
    <row r="153" spans="1:7" ht="15.75" x14ac:dyDescent="0.25">
      <c r="A153" s="25" t="s">
        <v>93</v>
      </c>
      <c r="B153" s="75">
        <v>8700</v>
      </c>
      <c r="C153" s="75">
        <v>12700</v>
      </c>
      <c r="D153" s="75">
        <v>34800</v>
      </c>
      <c r="E153" s="76">
        <v>17100</v>
      </c>
      <c r="F153" s="6">
        <f>1000*F154/F152</f>
        <v>9561.268556005396</v>
      </c>
      <c r="G153" s="24" t="s">
        <v>91</v>
      </c>
    </row>
    <row r="154" spans="1:7" ht="15.75" x14ac:dyDescent="0.25">
      <c r="A154" s="25" t="s">
        <v>95</v>
      </c>
      <c r="B154" s="29">
        <f>B152*B153/1000</f>
        <v>11.389467420410591</v>
      </c>
      <c r="C154" s="29">
        <f t="shared" ref="C154:E154" si="51">C152*C153/1000</f>
        <v>2.2860755727462068</v>
      </c>
      <c r="D154" s="29">
        <f t="shared" si="51"/>
        <v>0.71184171377566197</v>
      </c>
      <c r="E154" s="29">
        <f t="shared" si="51"/>
        <v>0.10493528711692948</v>
      </c>
      <c r="F154" s="16">
        <f>SUM(B154:E154)</f>
        <v>14.492319994049389</v>
      </c>
      <c r="G154" s="24" t="s">
        <v>141</v>
      </c>
    </row>
    <row r="155" spans="1:7" ht="15.75" x14ac:dyDescent="0.25">
      <c r="A155" s="25" t="s">
        <v>90</v>
      </c>
      <c r="B155" s="31">
        <v>3.75</v>
      </c>
      <c r="C155" s="19">
        <v>2.75</v>
      </c>
      <c r="D155" s="19">
        <v>0.7</v>
      </c>
      <c r="E155">
        <v>2.4</v>
      </c>
      <c r="F155" s="9">
        <f>F154/F156</f>
        <v>2.9401367379998549</v>
      </c>
      <c r="G155" s="24" t="s">
        <v>96</v>
      </c>
    </row>
    <row r="156" spans="1:7" ht="15.75" x14ac:dyDescent="0.25">
      <c r="A156" s="27" t="s">
        <v>122</v>
      </c>
      <c r="B156" s="59">
        <f>B152*B153/(B155*1000)</f>
        <v>3.0371913121094911</v>
      </c>
      <c r="C156" s="59">
        <f t="shared" ref="C156:E156" si="52">C152*C153/(C155*1000)</f>
        <v>0.83130020827134798</v>
      </c>
      <c r="D156" s="59">
        <f t="shared" si="52"/>
        <v>1.0169167339652314</v>
      </c>
      <c r="E156" s="59">
        <f t="shared" si="52"/>
        <v>4.3723036298720618E-2</v>
      </c>
      <c r="F156" s="59">
        <f>SUM(B156:E156)</f>
        <v>4.9291312906447908</v>
      </c>
      <c r="G156" s="30" t="s">
        <v>63</v>
      </c>
    </row>
    <row r="157" spans="1:7" ht="15.75" x14ac:dyDescent="0.25">
      <c r="A157" s="27" t="s">
        <v>140</v>
      </c>
      <c r="B157" s="26">
        <v>75</v>
      </c>
      <c r="C157" s="26">
        <v>100</v>
      </c>
      <c r="D157" s="26">
        <v>650</v>
      </c>
      <c r="E157" s="26">
        <v>450</v>
      </c>
      <c r="F157" s="26">
        <f>F158/F152</f>
        <v>87.246963562753038</v>
      </c>
      <c r="G157" s="24" t="s">
        <v>142</v>
      </c>
    </row>
    <row r="158" spans="1:7" ht="15.75" x14ac:dyDescent="0.25">
      <c r="A158" s="27" t="s">
        <v>143</v>
      </c>
      <c r="B158" s="35">
        <f>B157*B152</f>
        <v>98.185063969056827</v>
      </c>
      <c r="C158" s="35">
        <f t="shared" ref="C158:E158" si="53">C157*C152</f>
        <v>18.000595060993753</v>
      </c>
      <c r="D158" s="35">
        <f t="shared" si="53"/>
        <v>13.295894079143112</v>
      </c>
      <c r="E158" s="35">
        <f t="shared" si="53"/>
        <v>2.761454924129723</v>
      </c>
      <c r="F158" s="35">
        <f>SUM(B158:E158)</f>
        <v>132.24300803332343</v>
      </c>
      <c r="G158" s="30" t="s">
        <v>144</v>
      </c>
    </row>
    <row r="159" spans="1:7" ht="15.75" x14ac:dyDescent="0.25">
      <c r="A159" s="27"/>
      <c r="B159" s="35"/>
      <c r="C159" s="35"/>
      <c r="D159" s="35"/>
      <c r="E159" s="35"/>
      <c r="F159" s="35"/>
      <c r="G159" s="30"/>
    </row>
    <row r="160" spans="1:7" x14ac:dyDescent="0.25">
      <c r="A160" s="27" t="s">
        <v>270</v>
      </c>
      <c r="B160" s="91">
        <v>30000</v>
      </c>
      <c r="C160" s="91">
        <v>40000</v>
      </c>
      <c r="D160" s="91">
        <v>300000</v>
      </c>
      <c r="E160" s="91">
        <v>200000</v>
      </c>
      <c r="F160" s="85">
        <f>1000*F161/F152</f>
        <v>35519.568151147098</v>
      </c>
      <c r="G160" s="88"/>
    </row>
    <row r="161" spans="1:7" x14ac:dyDescent="0.25">
      <c r="A161" s="27" t="s">
        <v>222</v>
      </c>
      <c r="B161" s="80">
        <f>B152*B160/1000</f>
        <v>39.274025587622731</v>
      </c>
      <c r="C161" s="80">
        <f>C152*C160/1000</f>
        <v>7.2002380243975024</v>
      </c>
      <c r="D161" s="80">
        <f>D152*D160/1000</f>
        <v>6.1365664980660526</v>
      </c>
      <c r="E161" s="80">
        <f>E152*E160/1000</f>
        <v>1.2273132996132103</v>
      </c>
      <c r="F161" s="18">
        <f>SUM(B161:E161)</f>
        <v>53.838143409699491</v>
      </c>
      <c r="G161" s="89" t="s">
        <v>146</v>
      </c>
    </row>
    <row r="162" spans="1:7" x14ac:dyDescent="0.25">
      <c r="A162" s="27" t="s">
        <v>232</v>
      </c>
      <c r="B162" s="81">
        <f>B160*$B$377</f>
        <v>2100</v>
      </c>
      <c r="C162" s="81">
        <f>C160*$B$377</f>
        <v>2800.0000000000005</v>
      </c>
      <c r="D162" s="81">
        <f>D160*$B$377</f>
        <v>21000.000000000004</v>
      </c>
      <c r="E162" s="81">
        <f>E160*$B$377</f>
        <v>14000.000000000002</v>
      </c>
      <c r="F162" s="79">
        <f>1000*F163/F152</f>
        <v>2486.369770580297</v>
      </c>
      <c r="G162" s="89" t="s">
        <v>156</v>
      </c>
    </row>
    <row r="163" spans="1:7" x14ac:dyDescent="0.25">
      <c r="A163" s="27" t="s">
        <v>233</v>
      </c>
      <c r="B163" s="83">
        <f>B162*B152/1000</f>
        <v>2.7491817911335912</v>
      </c>
      <c r="C163" s="83">
        <f t="shared" ref="C163:E163" si="54">C162*C152/1000</f>
        <v>0.50401666170782522</v>
      </c>
      <c r="D163" s="83">
        <f t="shared" si="54"/>
        <v>0.42955965486462372</v>
      </c>
      <c r="E163" s="83">
        <f t="shared" si="54"/>
        <v>8.5911930972924738E-2</v>
      </c>
      <c r="F163" s="77">
        <f>SUM(B163:E163)</f>
        <v>3.7686700386789647</v>
      </c>
      <c r="G163" s="89" t="s">
        <v>213</v>
      </c>
    </row>
    <row r="164" spans="1:7" x14ac:dyDescent="0.25">
      <c r="A164" s="27"/>
      <c r="B164" s="81"/>
      <c r="C164" s="81"/>
      <c r="D164" s="81"/>
      <c r="E164" s="81"/>
      <c r="F164" s="79"/>
      <c r="G164" s="89"/>
    </row>
    <row r="165" spans="1:7" x14ac:dyDescent="0.25">
      <c r="A165" s="27" t="s">
        <v>226</v>
      </c>
      <c r="B165" s="91">
        <v>40</v>
      </c>
      <c r="C165" s="91">
        <v>35</v>
      </c>
      <c r="D165" s="91">
        <v>25</v>
      </c>
      <c r="E165" s="91">
        <v>20</v>
      </c>
      <c r="F165" s="82">
        <f>F154/F167</f>
        <v>37.762684504479118</v>
      </c>
      <c r="G165" s="89" t="s">
        <v>230</v>
      </c>
    </row>
    <row r="166" spans="1:7" x14ac:dyDescent="0.25">
      <c r="A166" s="27" t="s">
        <v>228</v>
      </c>
      <c r="B166" s="94">
        <f>B153/B165</f>
        <v>217.5</v>
      </c>
      <c r="C166" s="94">
        <f t="shared" ref="C166:E166" si="55">C153/C165</f>
        <v>362.85714285714283</v>
      </c>
      <c r="D166" s="94">
        <f t="shared" si="55"/>
        <v>1392</v>
      </c>
      <c r="E166" s="94">
        <f t="shared" si="55"/>
        <v>855</v>
      </c>
      <c r="F166" s="82">
        <f>1000*F167/F152</f>
        <v>253.1935608251398</v>
      </c>
      <c r="G166" s="89" t="s">
        <v>231</v>
      </c>
    </row>
    <row r="167" spans="1:7" x14ac:dyDescent="0.25">
      <c r="A167" s="27" t="s">
        <v>229</v>
      </c>
      <c r="B167" s="95">
        <f>B166*B152/1000</f>
        <v>0.28473668551026482</v>
      </c>
      <c r="C167" s="95">
        <f t="shared" ref="C167:E167" si="56">C166*C152/1000</f>
        <v>6.53164449356059E-2</v>
      </c>
      <c r="D167" s="95">
        <f t="shared" si="56"/>
        <v>2.8473668551026482E-2</v>
      </c>
      <c r="E167" s="95">
        <f t="shared" si="56"/>
        <v>5.2467643558464739E-3</v>
      </c>
      <c r="F167" s="64">
        <f>SUM(B167:E167)</f>
        <v>0.38377356335274371</v>
      </c>
      <c r="G167" s="89" t="s">
        <v>146</v>
      </c>
    </row>
    <row r="168" spans="1:7" x14ac:dyDescent="0.25">
      <c r="A168" s="27" t="s">
        <v>227</v>
      </c>
      <c r="B168" s="96">
        <f>B166/(24*365)</f>
        <v>2.482876712328767E-2</v>
      </c>
      <c r="C168" s="96">
        <f t="shared" ref="C168:F168" si="57">C166/(24*365)</f>
        <v>4.1422048271363338E-2</v>
      </c>
      <c r="D168" s="96">
        <f t="shared" si="57"/>
        <v>0.15890410958904111</v>
      </c>
      <c r="E168" s="96">
        <f t="shared" si="57"/>
        <v>9.7602739726027399E-2</v>
      </c>
      <c r="F168" s="43">
        <f t="shared" si="57"/>
        <v>2.8903374523417784E-2</v>
      </c>
      <c r="G168" s="89"/>
    </row>
    <row r="169" spans="1:7" x14ac:dyDescent="0.25">
      <c r="A169" s="27"/>
      <c r="B169" s="94"/>
      <c r="C169" s="94"/>
      <c r="D169" s="94"/>
      <c r="E169" s="94"/>
      <c r="F169" s="79"/>
      <c r="G169" s="89"/>
    </row>
    <row r="170" spans="1:7" x14ac:dyDescent="0.25">
      <c r="A170" s="27" t="s">
        <v>239</v>
      </c>
      <c r="B170" s="91">
        <v>300</v>
      </c>
      <c r="C170" s="91">
        <v>300</v>
      </c>
      <c r="D170" s="91">
        <v>300</v>
      </c>
      <c r="E170" s="91">
        <v>300</v>
      </c>
      <c r="F170" s="82">
        <f>1000*F172/(F152*F157)</f>
        <v>299.99999999999994</v>
      </c>
      <c r="G170" s="89" t="s">
        <v>236</v>
      </c>
    </row>
    <row r="171" spans="1:7" x14ac:dyDescent="0.25">
      <c r="A171" s="27" t="s">
        <v>240</v>
      </c>
      <c r="B171" s="91">
        <v>200</v>
      </c>
      <c r="C171" s="91">
        <v>75</v>
      </c>
      <c r="D171" s="91">
        <v>50</v>
      </c>
      <c r="E171" s="91">
        <v>50</v>
      </c>
      <c r="F171" s="82">
        <f>1000*F173/(F152*F157)</f>
        <v>164.77184841453982</v>
      </c>
      <c r="G171" s="89" t="s">
        <v>237</v>
      </c>
    </row>
    <row r="172" spans="1:7" x14ac:dyDescent="0.25">
      <c r="A172" s="27" t="s">
        <v>241</v>
      </c>
      <c r="B172" s="18">
        <f>B152*B157*B170/1000</f>
        <v>29.455519190717048</v>
      </c>
      <c r="C172" s="18">
        <f t="shared" ref="C172:E172" si="58">C152*C157*C170/1000</f>
        <v>5.4001785182981257</v>
      </c>
      <c r="D172" s="18">
        <f t="shared" si="58"/>
        <v>3.9887682237429334</v>
      </c>
      <c r="E172" s="18">
        <f t="shared" si="58"/>
        <v>0.828436477238917</v>
      </c>
      <c r="F172" s="18">
        <f t="shared" ref="F172:F174" si="59">SUM(B172:E172)</f>
        <v>39.672902409997022</v>
      </c>
      <c r="G172" s="89" t="s">
        <v>63</v>
      </c>
    </row>
    <row r="173" spans="1:7" x14ac:dyDescent="0.25">
      <c r="A173" s="27" t="s">
        <v>242</v>
      </c>
      <c r="B173" s="18">
        <f>B152*B157*B171/1000</f>
        <v>19.637012793811365</v>
      </c>
      <c r="C173" s="18">
        <f t="shared" ref="C173:E173" si="60">C152*C157*C171/1000</f>
        <v>1.3500446295745314</v>
      </c>
      <c r="D173" s="18">
        <f t="shared" si="60"/>
        <v>0.66479470395715567</v>
      </c>
      <c r="E173" s="18">
        <f t="shared" si="60"/>
        <v>0.13807274620648616</v>
      </c>
      <c r="F173" s="18">
        <f t="shared" si="59"/>
        <v>21.789924873549538</v>
      </c>
      <c r="G173" s="89" t="s">
        <v>63</v>
      </c>
    </row>
    <row r="174" spans="1:7" x14ac:dyDescent="0.25">
      <c r="A174" s="27" t="s">
        <v>243</v>
      </c>
      <c r="B174" s="59">
        <f>B173*$B$269/100</f>
        <v>0.83503405709886791</v>
      </c>
      <c r="C174" s="59">
        <f t="shared" ref="C174:E174" si="61">C173*$B$269/100</f>
        <v>5.7408591425547169E-2</v>
      </c>
      <c r="D174" s="59">
        <f t="shared" si="61"/>
        <v>2.826938214136793E-2</v>
      </c>
      <c r="E174" s="59">
        <f t="shared" si="61"/>
        <v>5.871333213976415E-3</v>
      </c>
      <c r="F174" s="59">
        <f t="shared" si="59"/>
        <v>0.92658336387975948</v>
      </c>
      <c r="G174" s="89" t="s">
        <v>213</v>
      </c>
    </row>
    <row r="175" spans="1:7" x14ac:dyDescent="0.25">
      <c r="A175" s="27"/>
      <c r="B175" s="18"/>
      <c r="C175" s="18"/>
      <c r="D175" s="18"/>
      <c r="E175" s="18"/>
      <c r="F175" s="78"/>
      <c r="G175" s="89"/>
    </row>
    <row r="176" spans="1:7" x14ac:dyDescent="0.25">
      <c r="A176" s="27" t="s">
        <v>238</v>
      </c>
      <c r="B176" s="59">
        <f>B163-B174</f>
        <v>1.9141477340347233</v>
      </c>
      <c r="C176" s="59">
        <f t="shared" ref="C176:E176" si="62">C163-C174</f>
        <v>0.44660807028227806</v>
      </c>
      <c r="D176" s="59">
        <f t="shared" si="62"/>
        <v>0.40129027272325579</v>
      </c>
      <c r="E176" s="59">
        <f t="shared" si="62"/>
        <v>8.0040597758948326E-2</v>
      </c>
      <c r="F176" s="59">
        <f>SUM(B176:E176)</f>
        <v>2.8420866747992055</v>
      </c>
      <c r="G176" s="89" t="s">
        <v>213</v>
      </c>
    </row>
    <row r="177" spans="1:16" x14ac:dyDescent="0.25">
      <c r="A177" s="27" t="s">
        <v>244</v>
      </c>
      <c r="B177" s="35">
        <f>1000*B176/B152</f>
        <v>1462.1478486569783</v>
      </c>
      <c r="C177" s="35">
        <f t="shared" ref="C177:E177" si="63">1000*C176/C152</f>
        <v>2481.0739243284897</v>
      </c>
      <c r="D177" s="35">
        <f t="shared" si="63"/>
        <v>19617.987005423456</v>
      </c>
      <c r="E177" s="35">
        <f t="shared" si="63"/>
        <v>13043.221772985471</v>
      </c>
      <c r="F177" s="79">
        <f>1000*F176/F152</f>
        <v>1875.0589255797088</v>
      </c>
      <c r="G177" s="89" t="s">
        <v>156</v>
      </c>
    </row>
    <row r="178" spans="1:16" x14ac:dyDescent="0.25">
      <c r="A178" s="27" t="s">
        <v>279</v>
      </c>
      <c r="B178" s="35">
        <f>(B153/B155)*$B$269/100</f>
        <v>98.654466074387344</v>
      </c>
      <c r="C178" s="35">
        <f t="shared" ref="C178:E178" si="64">(C153/C155)*$B$269/100</f>
        <v>196.38114720136664</v>
      </c>
      <c r="D178" s="35">
        <f t="shared" si="64"/>
        <v>2114.0242730225859</v>
      </c>
      <c r="E178" s="35">
        <f t="shared" si="64"/>
        <v>302.97977188793527</v>
      </c>
      <c r="F178" s="79">
        <f>1000*F179/F152</f>
        <v>138.28553480056391</v>
      </c>
      <c r="G178" s="89" t="s">
        <v>156</v>
      </c>
    </row>
    <row r="179" spans="1:16" x14ac:dyDescent="0.25">
      <c r="A179" s="27" t="s">
        <v>281</v>
      </c>
      <c r="B179" s="59">
        <f>B152*B178/1000</f>
        <v>0.12915193416462492</v>
      </c>
      <c r="C179" s="59">
        <f t="shared" ref="C179:E179" si="65">C152*C178/1000</f>
        <v>3.5349775083852078E-2</v>
      </c>
      <c r="D179" s="59">
        <f t="shared" si="65"/>
        <v>4.3242835099762809E-2</v>
      </c>
      <c r="E179" s="59">
        <f t="shared" si="65"/>
        <v>1.8592555177591981E-3</v>
      </c>
      <c r="F179" s="77">
        <f>SUM(B179:E179)</f>
        <v>0.20960379986599903</v>
      </c>
      <c r="G179" s="89" t="s">
        <v>213</v>
      </c>
    </row>
    <row r="180" spans="1:16" x14ac:dyDescent="0.25">
      <c r="A180" s="27"/>
      <c r="B180" s="35"/>
      <c r="C180" s="35"/>
      <c r="D180" s="35"/>
      <c r="E180" s="35"/>
      <c r="F180" s="77"/>
      <c r="G180" s="89"/>
    </row>
    <row r="181" spans="1:16" x14ac:dyDescent="0.25">
      <c r="A181" s="27" t="s">
        <v>278</v>
      </c>
      <c r="B181" s="35">
        <f>B177+B178</f>
        <v>1560.8023147313656</v>
      </c>
      <c r="C181" s="35">
        <f t="shared" ref="C181:E181" si="66">C177+C178</f>
        <v>2677.4550715298565</v>
      </c>
      <c r="D181" s="35">
        <f t="shared" si="66"/>
        <v>21732.011278446043</v>
      </c>
      <c r="E181" s="35">
        <f t="shared" si="66"/>
        <v>13346.201544873406</v>
      </c>
      <c r="F181" s="79">
        <f>1000*F182/F152</f>
        <v>2013.3444603802725</v>
      </c>
      <c r="G181" s="89" t="s">
        <v>156</v>
      </c>
    </row>
    <row r="182" spans="1:16" x14ac:dyDescent="0.25">
      <c r="A182" s="27" t="s">
        <v>280</v>
      </c>
      <c r="B182" s="59">
        <f>B152*B181/1000</f>
        <v>2.0432996681993481</v>
      </c>
      <c r="C182" s="59">
        <f t="shared" ref="C182:E182" si="67">C152*C181/1000</f>
        <v>0.48195784536613012</v>
      </c>
      <c r="D182" s="59">
        <f t="shared" si="67"/>
        <v>0.44453310782301864</v>
      </c>
      <c r="E182" s="59">
        <f t="shared" si="67"/>
        <v>8.1899853276707513E-2</v>
      </c>
      <c r="F182" s="59">
        <f>SUM(B182:E182)</f>
        <v>3.0516904746652043</v>
      </c>
      <c r="G182" s="89" t="s">
        <v>213</v>
      </c>
    </row>
    <row r="183" spans="1:16" x14ac:dyDescent="0.25">
      <c r="A183" s="27"/>
      <c r="B183" s="35"/>
      <c r="C183" s="35"/>
      <c r="D183" s="35"/>
      <c r="E183" s="35"/>
      <c r="F183" s="79"/>
      <c r="G183" s="89"/>
    </row>
    <row r="184" spans="1:16" x14ac:dyDescent="0.25">
      <c r="A184" s="27" t="s">
        <v>271</v>
      </c>
      <c r="B184" s="107">
        <v>35</v>
      </c>
      <c r="C184" s="107">
        <v>30</v>
      </c>
      <c r="D184" s="107">
        <v>8</v>
      </c>
      <c r="E184" s="107">
        <v>8</v>
      </c>
      <c r="F184" s="82">
        <f>F154/(F186/$B$391)</f>
        <v>28.770986694306483</v>
      </c>
      <c r="G184" s="89" t="s">
        <v>276</v>
      </c>
    </row>
    <row r="185" spans="1:16" x14ac:dyDescent="0.25">
      <c r="A185" s="27" t="s">
        <v>275</v>
      </c>
      <c r="B185" s="35">
        <f>(B153/B184)*$B$391</f>
        <v>1696.5</v>
      </c>
      <c r="C185" s="35">
        <f>(C153/C184)*$B$391</f>
        <v>2889.2499999999995</v>
      </c>
      <c r="D185" s="35">
        <f>(D153/D184)*$B$391</f>
        <v>29688.749999999996</v>
      </c>
      <c r="E185" s="35">
        <f>(E153/E184)*$B$391</f>
        <v>14588.437499999998</v>
      </c>
      <c r="F185" s="79">
        <f>1000*F186/F152</f>
        <v>2268.1063596491226</v>
      </c>
      <c r="G185" s="89" t="s">
        <v>156</v>
      </c>
    </row>
    <row r="186" spans="1:16" x14ac:dyDescent="0.25">
      <c r="A186" s="27" t="s">
        <v>277</v>
      </c>
      <c r="B186" s="77">
        <f>B152*B185/1000</f>
        <v>2.2209461469800655</v>
      </c>
      <c r="C186" s="77">
        <f t="shared" ref="C186:E186" si="68">C152*C185/1000</f>
        <v>0.52008219279976198</v>
      </c>
      <c r="D186" s="77">
        <f t="shared" si="68"/>
        <v>0.60728996206486163</v>
      </c>
      <c r="E186" s="77">
        <f t="shared" si="68"/>
        <v>8.9522916821630452E-2</v>
      </c>
      <c r="F186" s="77">
        <f>SUM(B186:E186)</f>
        <v>3.4378412186663194</v>
      </c>
      <c r="G186" s="89" t="s">
        <v>213</v>
      </c>
    </row>
    <row r="187" spans="1:16" ht="15.75" x14ac:dyDescent="0.25">
      <c r="A187" s="27"/>
      <c r="B187" s="18"/>
      <c r="C187" s="18"/>
      <c r="D187" s="18"/>
      <c r="E187" s="18"/>
      <c r="F187" s="18"/>
      <c r="G187" s="30"/>
    </row>
    <row r="188" spans="1:16" x14ac:dyDescent="0.25">
      <c r="A188" s="1"/>
      <c r="B188" s="18"/>
      <c r="C188" s="1"/>
    </row>
    <row r="189" spans="1:16" ht="18.75" x14ac:dyDescent="0.3">
      <c r="A189" s="33" t="s">
        <v>115</v>
      </c>
      <c r="B189" s="28" t="s">
        <v>99</v>
      </c>
      <c r="C189" s="27" t="s">
        <v>100</v>
      </c>
      <c r="D189" s="27" t="s">
        <v>102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6" x14ac:dyDescent="0.25">
      <c r="A190" s="1"/>
      <c r="B190" s="18"/>
      <c r="C190" s="27" t="s">
        <v>101</v>
      </c>
      <c r="D190" s="27" t="s">
        <v>103</v>
      </c>
      <c r="E190" s="27" t="s">
        <v>104</v>
      </c>
      <c r="F190" s="27" t="s">
        <v>105</v>
      </c>
      <c r="G190" s="27" t="s">
        <v>106</v>
      </c>
      <c r="H190" s="27" t="s">
        <v>107</v>
      </c>
      <c r="I190" s="27" t="s">
        <v>108</v>
      </c>
      <c r="J190" s="27" t="s">
        <v>109</v>
      </c>
      <c r="K190" s="27" t="s">
        <v>110</v>
      </c>
      <c r="L190" s="27" t="s">
        <v>111</v>
      </c>
      <c r="M190" s="27" t="s">
        <v>112</v>
      </c>
      <c r="N190" s="27" t="s">
        <v>113</v>
      </c>
      <c r="O190" s="27" t="s">
        <v>114</v>
      </c>
      <c r="P190" s="27" t="s">
        <v>13</v>
      </c>
    </row>
    <row r="191" spans="1:16" x14ac:dyDescent="0.25">
      <c r="A191" s="27" t="s">
        <v>117</v>
      </c>
      <c r="B191" s="18"/>
      <c r="C191" s="1"/>
    </row>
    <row r="192" spans="1:16" x14ac:dyDescent="0.25">
      <c r="A192" s="25" t="s">
        <v>116</v>
      </c>
      <c r="B192" s="26"/>
      <c r="C192" s="32">
        <v>1</v>
      </c>
      <c r="D192" s="9">
        <v>1.1000000000000001</v>
      </c>
      <c r="E192" s="9">
        <v>1.1000000000000001</v>
      </c>
      <c r="F192" s="9">
        <v>1.05</v>
      </c>
      <c r="G192" s="9">
        <v>1</v>
      </c>
      <c r="H192" s="9">
        <v>0.95</v>
      </c>
      <c r="I192" s="9">
        <v>0.9</v>
      </c>
      <c r="J192" s="9">
        <v>0.9</v>
      </c>
      <c r="K192" s="9">
        <v>0.9</v>
      </c>
      <c r="L192" s="9">
        <v>0.95</v>
      </c>
      <c r="M192" s="9">
        <v>1</v>
      </c>
      <c r="N192" s="9">
        <v>1.05</v>
      </c>
      <c r="O192" s="9">
        <v>1.1000000000000001</v>
      </c>
    </row>
    <row r="193" spans="1:16" x14ac:dyDescent="0.25">
      <c r="A193" s="25" t="s">
        <v>118</v>
      </c>
      <c r="B193" s="26">
        <f>G80</f>
        <v>4.2500059506099372</v>
      </c>
      <c r="C193" s="31">
        <f>B193/12</f>
        <v>0.35416716255082809</v>
      </c>
      <c r="D193" s="7">
        <f>$C193*D192</f>
        <v>0.38958387880591094</v>
      </c>
      <c r="E193" s="7">
        <f t="shared" ref="E193:O193" si="69">$C193*E192</f>
        <v>0.38958387880591094</v>
      </c>
      <c r="F193" s="7">
        <f t="shared" si="69"/>
        <v>0.37187552067836949</v>
      </c>
      <c r="G193" s="7">
        <f t="shared" si="69"/>
        <v>0.35416716255082809</v>
      </c>
      <c r="H193" s="7">
        <f t="shared" si="69"/>
        <v>0.33645880442328668</v>
      </c>
      <c r="I193" s="7">
        <f t="shared" si="69"/>
        <v>0.31875044629574528</v>
      </c>
      <c r="J193" s="7">
        <f t="shared" si="69"/>
        <v>0.31875044629574528</v>
      </c>
      <c r="K193" s="7">
        <f t="shared" si="69"/>
        <v>0.31875044629574528</v>
      </c>
      <c r="L193" s="7">
        <f t="shared" si="69"/>
        <v>0.33645880442328668</v>
      </c>
      <c r="M193" s="7">
        <f t="shared" si="69"/>
        <v>0.35416716255082809</v>
      </c>
      <c r="N193" s="7">
        <f t="shared" si="69"/>
        <v>0.37187552067836949</v>
      </c>
      <c r="O193" s="7">
        <f t="shared" si="69"/>
        <v>0.38958387880591094</v>
      </c>
      <c r="P193" s="16">
        <f>SUM(D193:O193)</f>
        <v>4.2500059506099372</v>
      </c>
    </row>
    <row r="194" spans="1:16" x14ac:dyDescent="0.25">
      <c r="A194" s="1"/>
      <c r="B194" s="18"/>
      <c r="C194" s="1"/>
    </row>
    <row r="195" spans="1:16" x14ac:dyDescent="0.25">
      <c r="A195" s="27" t="s">
        <v>119</v>
      </c>
      <c r="B195" s="18"/>
      <c r="C195" s="1"/>
    </row>
    <row r="196" spans="1:16" x14ac:dyDescent="0.25">
      <c r="A196" s="25" t="s">
        <v>116</v>
      </c>
      <c r="B196" s="26"/>
      <c r="C196" s="32">
        <v>1</v>
      </c>
      <c r="D196" s="8">
        <v>1.05</v>
      </c>
      <c r="E196" s="8">
        <v>1.05</v>
      </c>
      <c r="F196" s="8">
        <v>1.0249999999999999</v>
      </c>
      <c r="G196" s="8">
        <v>1</v>
      </c>
      <c r="H196" s="8">
        <v>0.97499999999999998</v>
      </c>
      <c r="I196" s="8">
        <v>0.95</v>
      </c>
      <c r="J196" s="8">
        <v>0.95</v>
      </c>
      <c r="K196" s="8">
        <v>0.95</v>
      </c>
      <c r="L196" s="8">
        <v>0.97499999999999998</v>
      </c>
      <c r="M196" s="8">
        <v>1</v>
      </c>
      <c r="N196" s="8">
        <v>1.0249999999999999</v>
      </c>
      <c r="O196" s="9">
        <v>1.05</v>
      </c>
    </row>
    <row r="197" spans="1:16" x14ac:dyDescent="0.25">
      <c r="A197" s="25" t="s">
        <v>118</v>
      </c>
      <c r="B197" s="26">
        <f>G111</f>
        <v>7.8537700833085395</v>
      </c>
      <c r="C197" s="31">
        <f>B197/12</f>
        <v>0.65448084027571163</v>
      </c>
      <c r="D197" s="7">
        <f t="shared" ref="D197:O197" si="70">$C197*D196</f>
        <v>0.68720488228949728</v>
      </c>
      <c r="E197" s="7">
        <f t="shared" si="70"/>
        <v>0.68720488228949728</v>
      </c>
      <c r="F197" s="7">
        <f t="shared" si="70"/>
        <v>0.6708428612826044</v>
      </c>
      <c r="G197" s="7">
        <f t="shared" si="70"/>
        <v>0.65448084027571163</v>
      </c>
      <c r="H197" s="7">
        <f t="shared" si="70"/>
        <v>0.63811881926881886</v>
      </c>
      <c r="I197" s="7">
        <f t="shared" si="70"/>
        <v>0.62175679826192598</v>
      </c>
      <c r="J197" s="7">
        <f t="shared" si="70"/>
        <v>0.62175679826192598</v>
      </c>
      <c r="K197" s="7">
        <f t="shared" si="70"/>
        <v>0.62175679826192598</v>
      </c>
      <c r="L197" s="7">
        <f t="shared" si="70"/>
        <v>0.63811881926881886</v>
      </c>
      <c r="M197" s="7">
        <f t="shared" si="70"/>
        <v>0.65448084027571163</v>
      </c>
      <c r="N197" s="7">
        <f t="shared" si="70"/>
        <v>0.6708428612826044</v>
      </c>
      <c r="O197" s="7">
        <f t="shared" si="70"/>
        <v>0.68720488228949728</v>
      </c>
      <c r="P197" s="16">
        <f>SUM(D197:O197)</f>
        <v>7.8537700833085395</v>
      </c>
    </row>
    <row r="198" spans="1:16" x14ac:dyDescent="0.25">
      <c r="A198" s="1"/>
      <c r="B198" s="18"/>
      <c r="C198" s="1"/>
    </row>
    <row r="199" spans="1:16" x14ac:dyDescent="0.25">
      <c r="A199" s="27" t="s">
        <v>123</v>
      </c>
      <c r="B199" s="18"/>
      <c r="C199" s="1"/>
    </row>
    <row r="200" spans="1:16" x14ac:dyDescent="0.25">
      <c r="A200" s="25" t="s">
        <v>116</v>
      </c>
      <c r="B200" s="26"/>
      <c r="C200" s="32">
        <v>1</v>
      </c>
      <c r="D200" s="8">
        <v>2</v>
      </c>
      <c r="E200" s="8">
        <v>1.8</v>
      </c>
      <c r="F200" s="8">
        <v>1.5</v>
      </c>
      <c r="G200" s="8">
        <v>0.9</v>
      </c>
      <c r="H200" s="8">
        <v>0.45</v>
      </c>
      <c r="I200" s="8">
        <v>0.27500000000000002</v>
      </c>
      <c r="J200" s="8">
        <v>0.125</v>
      </c>
      <c r="K200" s="8">
        <v>0.3</v>
      </c>
      <c r="L200" s="8">
        <v>0.45</v>
      </c>
      <c r="M200" s="8">
        <v>0.9</v>
      </c>
      <c r="N200" s="8">
        <v>1.5</v>
      </c>
      <c r="O200" s="9">
        <v>1.8</v>
      </c>
    </row>
    <row r="201" spans="1:16" x14ac:dyDescent="0.25">
      <c r="A201" s="25" t="s">
        <v>118</v>
      </c>
      <c r="B201" s="26">
        <f>G36+G102</f>
        <v>4.4968868392343548</v>
      </c>
      <c r="C201" s="31">
        <f>B201/12</f>
        <v>0.37474056993619625</v>
      </c>
      <c r="D201" s="7">
        <f t="shared" ref="D201:O201" si="71">$C201*D200</f>
        <v>0.74948113987239251</v>
      </c>
      <c r="E201" s="7">
        <f t="shared" si="71"/>
        <v>0.67453302588515329</v>
      </c>
      <c r="F201" s="7">
        <f t="shared" si="71"/>
        <v>0.56211085490429435</v>
      </c>
      <c r="G201" s="7">
        <f t="shared" si="71"/>
        <v>0.33726651294257665</v>
      </c>
      <c r="H201" s="7">
        <f t="shared" si="71"/>
        <v>0.16863325647128832</v>
      </c>
      <c r="I201" s="7">
        <f t="shared" si="71"/>
        <v>0.10305365673245398</v>
      </c>
      <c r="J201" s="7">
        <f t="shared" si="71"/>
        <v>4.6842571242024532E-2</v>
      </c>
      <c r="K201" s="7">
        <f t="shared" si="71"/>
        <v>0.11242217098085887</v>
      </c>
      <c r="L201" s="7">
        <f t="shared" si="71"/>
        <v>0.16863325647128832</v>
      </c>
      <c r="M201" s="7">
        <f t="shared" si="71"/>
        <v>0.33726651294257665</v>
      </c>
      <c r="N201" s="7">
        <f t="shared" si="71"/>
        <v>0.56211085490429435</v>
      </c>
      <c r="O201" s="7">
        <f t="shared" si="71"/>
        <v>0.67453302588515329</v>
      </c>
      <c r="P201" s="16">
        <f>SUM(D201:O201)</f>
        <v>4.4968868392343548</v>
      </c>
    </row>
    <row r="202" spans="1:16" x14ac:dyDescent="0.25">
      <c r="A202" s="1"/>
      <c r="B202" s="18"/>
      <c r="C202" s="1"/>
    </row>
    <row r="203" spans="1:16" x14ac:dyDescent="0.25">
      <c r="A203" s="27" t="s">
        <v>85</v>
      </c>
      <c r="B203" s="18"/>
      <c r="C203" s="1"/>
    </row>
    <row r="204" spans="1:16" x14ac:dyDescent="0.25">
      <c r="A204" s="25" t="s">
        <v>116</v>
      </c>
      <c r="B204" s="26"/>
      <c r="C204" s="32">
        <v>1</v>
      </c>
      <c r="D204" s="8">
        <v>0.95</v>
      </c>
      <c r="E204" s="8">
        <v>0.95</v>
      </c>
      <c r="F204" s="8">
        <v>0.97499999999999998</v>
      </c>
      <c r="G204" s="8">
        <v>1</v>
      </c>
      <c r="H204" s="8">
        <v>1.0249999999999999</v>
      </c>
      <c r="I204" s="8">
        <v>1.05</v>
      </c>
      <c r="J204" s="8">
        <v>1.05</v>
      </c>
      <c r="K204" s="8">
        <v>1.05</v>
      </c>
      <c r="L204" s="8">
        <v>1.0249999999999999</v>
      </c>
      <c r="M204" s="8">
        <v>1</v>
      </c>
      <c r="N204" s="8">
        <v>0.97499999999999998</v>
      </c>
      <c r="O204" s="9">
        <v>0.95</v>
      </c>
    </row>
    <row r="205" spans="1:16" x14ac:dyDescent="0.25">
      <c r="A205" s="25" t="s">
        <v>118</v>
      </c>
      <c r="B205" s="26">
        <f>F156</f>
        <v>4.9291312906447908</v>
      </c>
      <c r="C205" s="31">
        <f>B205/12</f>
        <v>0.41076094088706588</v>
      </c>
      <c r="D205" s="7">
        <f t="shared" ref="D205:O205" si="72">$C205*D204</f>
        <v>0.39022289384271258</v>
      </c>
      <c r="E205" s="7">
        <f t="shared" si="72"/>
        <v>0.39022289384271258</v>
      </c>
      <c r="F205" s="7">
        <f t="shared" si="72"/>
        <v>0.40049191736488921</v>
      </c>
      <c r="G205" s="7">
        <f t="shared" si="72"/>
        <v>0.41076094088706588</v>
      </c>
      <c r="H205" s="7">
        <f t="shared" si="72"/>
        <v>0.42102996440924251</v>
      </c>
      <c r="I205" s="7">
        <f t="shared" si="72"/>
        <v>0.43129898793141919</v>
      </c>
      <c r="J205" s="7">
        <f t="shared" si="72"/>
        <v>0.43129898793141919</v>
      </c>
      <c r="K205" s="7">
        <f t="shared" si="72"/>
        <v>0.43129898793141919</v>
      </c>
      <c r="L205" s="7">
        <f t="shared" si="72"/>
        <v>0.42102996440924251</v>
      </c>
      <c r="M205" s="7">
        <f t="shared" si="72"/>
        <v>0.41076094088706588</v>
      </c>
      <c r="N205" s="7">
        <f t="shared" si="72"/>
        <v>0.40049191736488921</v>
      </c>
      <c r="O205" s="7">
        <f t="shared" si="72"/>
        <v>0.39022289384271258</v>
      </c>
      <c r="P205" s="16">
        <f>SUM(D205:O205)</f>
        <v>4.9291312906447908</v>
      </c>
    </row>
    <row r="206" spans="1:16" x14ac:dyDescent="0.25">
      <c r="A206" s="1"/>
      <c r="B206" s="18"/>
      <c r="C206" s="1"/>
    </row>
    <row r="207" spans="1:16" x14ac:dyDescent="0.25">
      <c r="A207" s="27" t="s">
        <v>208</v>
      </c>
      <c r="B207" s="18">
        <f>SUM(B193+B197+B201+B205)</f>
        <v>21.529794163797622</v>
      </c>
      <c r="C207" s="18">
        <f t="shared" ref="C207:P207" si="73">SUM(C193+C197+C201+C205)</f>
        <v>1.7941495136498018</v>
      </c>
      <c r="D207" s="18">
        <f t="shared" si="73"/>
        <v>2.2164927948105131</v>
      </c>
      <c r="E207" s="18">
        <f t="shared" si="73"/>
        <v>2.1415446808232739</v>
      </c>
      <c r="F207" s="18">
        <f t="shared" si="73"/>
        <v>2.0053211542301574</v>
      </c>
      <c r="G207" s="18">
        <f t="shared" si="73"/>
        <v>1.7566754566561822</v>
      </c>
      <c r="H207" s="18">
        <f t="shared" si="73"/>
        <v>1.5642408445726363</v>
      </c>
      <c r="I207" s="18">
        <f t="shared" si="73"/>
        <v>1.4748598892215443</v>
      </c>
      <c r="J207" s="18">
        <f t="shared" si="73"/>
        <v>1.4186488037311149</v>
      </c>
      <c r="K207" s="18">
        <f t="shared" si="73"/>
        <v>1.4842284034699493</v>
      </c>
      <c r="L207" s="18">
        <f t="shared" si="73"/>
        <v>1.5642408445726363</v>
      </c>
      <c r="M207" s="18">
        <f t="shared" si="73"/>
        <v>1.7566754566561822</v>
      </c>
      <c r="N207" s="18">
        <f t="shared" si="73"/>
        <v>2.0053211542301574</v>
      </c>
      <c r="O207" s="18">
        <f t="shared" si="73"/>
        <v>2.1415446808232739</v>
      </c>
      <c r="P207" s="18">
        <f t="shared" si="73"/>
        <v>21.529794163797622</v>
      </c>
    </row>
    <row r="208" spans="1:16" x14ac:dyDescent="0.25">
      <c r="A208" s="2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1:16" ht="18.75" x14ac:dyDescent="0.3">
      <c r="A209" s="33" t="s">
        <v>124</v>
      </c>
      <c r="B209" s="28" t="s">
        <v>99</v>
      </c>
      <c r="C209" s="27" t="s">
        <v>100</v>
      </c>
      <c r="D209" s="27" t="s">
        <v>102</v>
      </c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6" ht="18.75" x14ac:dyDescent="0.3">
      <c r="A210" s="33"/>
      <c r="B210" s="18"/>
      <c r="C210" s="27" t="s">
        <v>101</v>
      </c>
      <c r="D210" s="27" t="s">
        <v>103</v>
      </c>
      <c r="E210" s="27" t="s">
        <v>104</v>
      </c>
      <c r="F210" s="27" t="s">
        <v>105</v>
      </c>
      <c r="G210" s="27" t="s">
        <v>106</v>
      </c>
      <c r="H210" s="27" t="s">
        <v>107</v>
      </c>
      <c r="I210" s="27" t="s">
        <v>108</v>
      </c>
      <c r="J210" s="27" t="s">
        <v>109</v>
      </c>
      <c r="K210" s="27" t="s">
        <v>110</v>
      </c>
      <c r="L210" s="27" t="s">
        <v>111</v>
      </c>
      <c r="M210" s="27" t="s">
        <v>112</v>
      </c>
      <c r="N210" s="27" t="s">
        <v>113</v>
      </c>
      <c r="O210" s="27" t="s">
        <v>114</v>
      </c>
      <c r="P210" s="27" t="s">
        <v>13</v>
      </c>
    </row>
    <row r="211" spans="1:16" x14ac:dyDescent="0.25">
      <c r="A211" s="25" t="s">
        <v>126</v>
      </c>
      <c r="B211" s="26"/>
      <c r="C211" s="32">
        <v>1</v>
      </c>
      <c r="D211" s="8">
        <v>0.4</v>
      </c>
      <c r="E211" s="8">
        <v>0.52500000000000002</v>
      </c>
      <c r="F211" s="8">
        <v>1.0249999999999999</v>
      </c>
      <c r="G211" s="8">
        <v>1.375</v>
      </c>
      <c r="H211" s="8">
        <v>1.5</v>
      </c>
      <c r="I211" s="8">
        <v>1.575</v>
      </c>
      <c r="J211" s="8">
        <v>1.6</v>
      </c>
      <c r="K211" s="8">
        <v>1.35</v>
      </c>
      <c r="L211" s="8">
        <v>1.1000000000000001</v>
      </c>
      <c r="M211" s="8">
        <v>0.75</v>
      </c>
      <c r="N211" s="8">
        <v>0.45</v>
      </c>
      <c r="O211" s="9">
        <v>0.35</v>
      </c>
      <c r="P211" s="27"/>
    </row>
    <row r="212" spans="1:16" x14ac:dyDescent="0.25">
      <c r="A212" s="27" t="s">
        <v>125</v>
      </c>
      <c r="B212" s="21">
        <f>B147/B146</f>
        <v>0.72955282432098767</v>
      </c>
      <c r="C212" s="21">
        <f>B212/12</f>
        <v>6.0796068693415639E-2</v>
      </c>
      <c r="D212" s="21">
        <f>$C212*D211</f>
        <v>2.4318427477366258E-2</v>
      </c>
      <c r="E212" s="21">
        <f t="shared" ref="E212:O212" si="74">$C212*E211</f>
        <v>3.1917936064043209E-2</v>
      </c>
      <c r="F212" s="21">
        <f t="shared" si="74"/>
        <v>6.2315970410751022E-2</v>
      </c>
      <c r="G212" s="21">
        <f t="shared" si="74"/>
        <v>8.3594594453446497E-2</v>
      </c>
      <c r="H212" s="21">
        <f t="shared" si="74"/>
        <v>9.1194103040123459E-2</v>
      </c>
      <c r="I212" s="21">
        <f t="shared" si="74"/>
        <v>9.5753808192129627E-2</v>
      </c>
      <c r="J212" s="21">
        <f t="shared" si="74"/>
        <v>9.7273709909465031E-2</v>
      </c>
      <c r="K212" s="21">
        <f t="shared" si="74"/>
        <v>8.2074692736111121E-2</v>
      </c>
      <c r="L212" s="21">
        <f t="shared" si="74"/>
        <v>6.6875675562757211E-2</v>
      </c>
      <c r="M212" s="21">
        <f t="shared" si="74"/>
        <v>4.5597051520061729E-2</v>
      </c>
      <c r="N212" s="21">
        <f t="shared" si="74"/>
        <v>2.7358230912037037E-2</v>
      </c>
      <c r="O212" s="21">
        <f t="shared" si="74"/>
        <v>2.1278624042695472E-2</v>
      </c>
      <c r="P212" s="21">
        <f>SUM(D212:O212)</f>
        <v>0.72955282432098767</v>
      </c>
    </row>
    <row r="213" spans="1:16" x14ac:dyDescent="0.25">
      <c r="A213" s="2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1:16" x14ac:dyDescent="0.25">
      <c r="A214" s="25" t="s">
        <v>127</v>
      </c>
      <c r="B214" s="26"/>
      <c r="C214" s="32">
        <v>1</v>
      </c>
      <c r="D214" s="8">
        <v>1.25</v>
      </c>
      <c r="E214" s="8">
        <v>1.25</v>
      </c>
      <c r="F214" s="8">
        <v>1.1000000000000001</v>
      </c>
      <c r="G214" s="8">
        <v>1</v>
      </c>
      <c r="H214" s="8">
        <v>0.9</v>
      </c>
      <c r="I214" s="8">
        <v>0.75</v>
      </c>
      <c r="J214" s="8">
        <v>0.75</v>
      </c>
      <c r="K214" s="8">
        <v>0.75</v>
      </c>
      <c r="L214" s="8">
        <v>0.9</v>
      </c>
      <c r="M214" s="8">
        <v>1</v>
      </c>
      <c r="N214" s="8">
        <v>1.1000000000000001</v>
      </c>
      <c r="O214" s="9">
        <v>1.25</v>
      </c>
      <c r="P214" s="27"/>
    </row>
    <row r="215" spans="1:16" x14ac:dyDescent="0.25">
      <c r="A215" s="27" t="s">
        <v>128</v>
      </c>
      <c r="B215" s="21">
        <f>24*365*B360/1000</f>
        <v>2.6280000000000001</v>
      </c>
      <c r="C215" s="21">
        <f>B215/12</f>
        <v>0.219</v>
      </c>
      <c r="D215" s="21">
        <f>$C215*D214</f>
        <v>0.27374999999999999</v>
      </c>
      <c r="E215" s="21">
        <f t="shared" ref="E215:O215" si="75">$C215*E214</f>
        <v>0.27374999999999999</v>
      </c>
      <c r="F215" s="21">
        <f t="shared" si="75"/>
        <v>0.24090000000000003</v>
      </c>
      <c r="G215" s="21">
        <f t="shared" si="75"/>
        <v>0.219</v>
      </c>
      <c r="H215" s="21">
        <f t="shared" si="75"/>
        <v>0.1971</v>
      </c>
      <c r="I215" s="21">
        <f t="shared" si="75"/>
        <v>0.16425000000000001</v>
      </c>
      <c r="J215" s="21">
        <f t="shared" si="75"/>
        <v>0.16425000000000001</v>
      </c>
      <c r="K215" s="21">
        <f t="shared" si="75"/>
        <v>0.16425000000000001</v>
      </c>
      <c r="L215" s="21">
        <f t="shared" si="75"/>
        <v>0.1971</v>
      </c>
      <c r="M215" s="21">
        <f t="shared" si="75"/>
        <v>0.219</v>
      </c>
      <c r="N215" s="21">
        <f t="shared" si="75"/>
        <v>0.24090000000000003</v>
      </c>
      <c r="O215" s="21">
        <f t="shared" si="75"/>
        <v>0.27374999999999999</v>
      </c>
      <c r="P215" s="21">
        <f>SUM(D215:O215)</f>
        <v>2.6280000000000001</v>
      </c>
    </row>
    <row r="216" spans="1:16" x14ac:dyDescent="0.25">
      <c r="A216" s="2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1:16" x14ac:dyDescent="0.25">
      <c r="A217" s="27" t="s">
        <v>205</v>
      </c>
      <c r="B217" s="18">
        <f>B207</f>
        <v>21.529794163797622</v>
      </c>
      <c r="C217" s="18">
        <f t="shared" ref="C217:O217" si="76">C207</f>
        <v>1.7941495136498018</v>
      </c>
      <c r="D217" s="18">
        <f t="shared" si="76"/>
        <v>2.2164927948105131</v>
      </c>
      <c r="E217" s="18">
        <f t="shared" si="76"/>
        <v>2.1415446808232739</v>
      </c>
      <c r="F217" s="18">
        <f t="shared" si="76"/>
        <v>2.0053211542301574</v>
      </c>
      <c r="G217" s="18">
        <f t="shared" si="76"/>
        <v>1.7566754566561822</v>
      </c>
      <c r="H217" s="18">
        <f t="shared" si="76"/>
        <v>1.5642408445726363</v>
      </c>
      <c r="I217" s="18">
        <f t="shared" si="76"/>
        <v>1.4748598892215443</v>
      </c>
      <c r="J217" s="18">
        <f t="shared" si="76"/>
        <v>1.4186488037311149</v>
      </c>
      <c r="K217" s="18">
        <f t="shared" si="76"/>
        <v>1.4842284034699493</v>
      </c>
      <c r="L217" s="18">
        <f t="shared" si="76"/>
        <v>1.5642408445726363</v>
      </c>
      <c r="M217" s="18">
        <f t="shared" si="76"/>
        <v>1.7566754566561822</v>
      </c>
      <c r="N217" s="18">
        <f t="shared" si="76"/>
        <v>2.0053211542301574</v>
      </c>
      <c r="O217" s="18">
        <f t="shared" si="76"/>
        <v>2.1415446808232739</v>
      </c>
      <c r="P217" s="18">
        <f>SUM(D217:O217)</f>
        <v>21.529794163797618</v>
      </c>
    </row>
    <row r="218" spans="1:16" x14ac:dyDescent="0.25">
      <c r="A218" s="2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1:16" ht="18.75" x14ac:dyDescent="0.3">
      <c r="A219" s="33" t="s">
        <v>169</v>
      </c>
      <c r="B219" s="28" t="s">
        <v>99</v>
      </c>
      <c r="C219" s="27" t="s">
        <v>100</v>
      </c>
      <c r="D219" s="27" t="s">
        <v>102</v>
      </c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6" x14ac:dyDescent="0.25">
      <c r="A220" s="27"/>
      <c r="B220" s="18"/>
      <c r="C220" s="27" t="s">
        <v>101</v>
      </c>
      <c r="D220" s="27" t="s">
        <v>103</v>
      </c>
      <c r="E220" s="27" t="s">
        <v>104</v>
      </c>
      <c r="F220" s="27" t="s">
        <v>105</v>
      </c>
      <c r="G220" s="27" t="s">
        <v>106</v>
      </c>
      <c r="H220" s="27" t="s">
        <v>107</v>
      </c>
      <c r="I220" s="27" t="s">
        <v>108</v>
      </c>
      <c r="J220" s="27" t="s">
        <v>109</v>
      </c>
      <c r="K220" s="27" t="s">
        <v>110</v>
      </c>
      <c r="L220" s="27" t="s">
        <v>111</v>
      </c>
      <c r="M220" s="27" t="s">
        <v>112</v>
      </c>
      <c r="N220" s="27" t="s">
        <v>113</v>
      </c>
      <c r="O220" s="27" t="s">
        <v>114</v>
      </c>
      <c r="P220" s="27" t="s">
        <v>13</v>
      </c>
    </row>
    <row r="221" spans="1:16" x14ac:dyDescent="0.25">
      <c r="A221" s="2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1:16" x14ac:dyDescent="0.25">
      <c r="A222" s="27" t="s">
        <v>167</v>
      </c>
      <c r="B222" s="66">
        <v>6.5</v>
      </c>
      <c r="C222" s="18" t="s">
        <v>62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16" x14ac:dyDescent="0.25">
      <c r="A223" s="27" t="s">
        <v>191</v>
      </c>
      <c r="B223" s="18">
        <f t="shared" ref="B223" si="77">B212*$B222</f>
        <v>4.7420933580864197</v>
      </c>
      <c r="C223" s="18">
        <f t="shared" ref="C223:P223" si="78">C212*$B222</f>
        <v>0.39517444650720168</v>
      </c>
      <c r="D223" s="18">
        <f t="shared" si="78"/>
        <v>0.15806977860288068</v>
      </c>
      <c r="E223" s="18">
        <f t="shared" si="78"/>
        <v>0.20746658441628085</v>
      </c>
      <c r="F223" s="18">
        <f t="shared" si="78"/>
        <v>0.40505380766988164</v>
      </c>
      <c r="G223" s="18">
        <f t="shared" si="78"/>
        <v>0.54336486394740224</v>
      </c>
      <c r="H223" s="18">
        <f t="shared" si="78"/>
        <v>0.59276166976080247</v>
      </c>
      <c r="I223" s="18">
        <f t="shared" si="78"/>
        <v>0.62239975324884256</v>
      </c>
      <c r="J223" s="18">
        <f t="shared" si="78"/>
        <v>0.63227911441152274</v>
      </c>
      <c r="K223" s="18">
        <f t="shared" si="78"/>
        <v>0.53348550278472229</v>
      </c>
      <c r="L223" s="18">
        <f t="shared" si="78"/>
        <v>0.43469189115792189</v>
      </c>
      <c r="M223" s="18">
        <f t="shared" si="78"/>
        <v>0.29638083488040123</v>
      </c>
      <c r="N223" s="18">
        <f t="shared" si="78"/>
        <v>0.17782850092824073</v>
      </c>
      <c r="O223" s="18">
        <f t="shared" si="78"/>
        <v>0.13831105627752058</v>
      </c>
      <c r="P223" s="18">
        <f t="shared" si="78"/>
        <v>4.7420933580864197</v>
      </c>
    </row>
    <row r="224" spans="1:16" x14ac:dyDescent="0.25">
      <c r="A224" s="2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1:16" x14ac:dyDescent="0.25">
      <c r="A225" s="27" t="s">
        <v>168</v>
      </c>
      <c r="B225" s="66">
        <v>6.5</v>
      </c>
      <c r="C225" s="18" t="s">
        <v>62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1:16" x14ac:dyDescent="0.25">
      <c r="A226" s="27" t="s">
        <v>192</v>
      </c>
      <c r="B226" s="18">
        <f t="shared" ref="B226:P226" si="79">B215*$B225</f>
        <v>17.082000000000001</v>
      </c>
      <c r="C226" s="18">
        <f t="shared" si="79"/>
        <v>1.4235</v>
      </c>
      <c r="D226" s="18">
        <f t="shared" si="79"/>
        <v>1.7793749999999999</v>
      </c>
      <c r="E226" s="18">
        <f t="shared" si="79"/>
        <v>1.7793749999999999</v>
      </c>
      <c r="F226" s="18">
        <f t="shared" si="79"/>
        <v>1.5658500000000002</v>
      </c>
      <c r="G226" s="18">
        <f t="shared" si="79"/>
        <v>1.4235</v>
      </c>
      <c r="H226" s="18">
        <f t="shared" si="79"/>
        <v>1.28115</v>
      </c>
      <c r="I226" s="18">
        <f t="shared" si="79"/>
        <v>1.067625</v>
      </c>
      <c r="J226" s="18">
        <f t="shared" si="79"/>
        <v>1.067625</v>
      </c>
      <c r="K226" s="18">
        <f t="shared" si="79"/>
        <v>1.067625</v>
      </c>
      <c r="L226" s="18">
        <f t="shared" si="79"/>
        <v>1.28115</v>
      </c>
      <c r="M226" s="18">
        <f t="shared" si="79"/>
        <v>1.4235</v>
      </c>
      <c r="N226" s="18">
        <f t="shared" si="79"/>
        <v>1.5658500000000002</v>
      </c>
      <c r="O226" s="18">
        <f t="shared" si="79"/>
        <v>1.7793749999999999</v>
      </c>
      <c r="P226" s="18">
        <f t="shared" si="79"/>
        <v>17.082000000000001</v>
      </c>
    </row>
    <row r="227" spans="1:16" x14ac:dyDescent="0.25">
      <c r="A227" s="2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1:16" x14ac:dyDescent="0.25">
      <c r="A228" s="27" t="s">
        <v>193</v>
      </c>
      <c r="B228" s="18">
        <f>B223+B226</f>
        <v>21.824093358086422</v>
      </c>
      <c r="C228" s="18">
        <f t="shared" ref="C228:P228" si="80">C223+C226</f>
        <v>1.8186744465072016</v>
      </c>
      <c r="D228" s="18">
        <f t="shared" si="80"/>
        <v>1.9374447786028806</v>
      </c>
      <c r="E228" s="18">
        <f t="shared" si="80"/>
        <v>1.9868415844162808</v>
      </c>
      <c r="F228" s="18">
        <f t="shared" si="80"/>
        <v>1.9709038076698819</v>
      </c>
      <c r="G228" s="18">
        <f t="shared" si="80"/>
        <v>1.9668648639474022</v>
      </c>
      <c r="H228" s="18">
        <f t="shared" si="80"/>
        <v>1.8739116697608025</v>
      </c>
      <c r="I228" s="18">
        <f t="shared" si="80"/>
        <v>1.6900247532488426</v>
      </c>
      <c r="J228" s="18">
        <f t="shared" si="80"/>
        <v>1.6999041144115228</v>
      </c>
      <c r="K228" s="18">
        <f t="shared" si="80"/>
        <v>1.6011105027847223</v>
      </c>
      <c r="L228" s="18">
        <f t="shared" si="80"/>
        <v>1.7158418911579219</v>
      </c>
      <c r="M228" s="18">
        <f t="shared" si="80"/>
        <v>1.7198808348804011</v>
      </c>
      <c r="N228" s="18">
        <f t="shared" si="80"/>
        <v>1.7436785009282409</v>
      </c>
      <c r="O228" s="18">
        <f t="shared" si="80"/>
        <v>1.9176860562775204</v>
      </c>
      <c r="P228" s="18">
        <f t="shared" si="80"/>
        <v>21.824093358086422</v>
      </c>
    </row>
    <row r="230" spans="1:16" x14ac:dyDescent="0.25">
      <c r="A230" s="27" t="s">
        <v>194</v>
      </c>
      <c r="B230" s="135">
        <f>B228-B217</f>
        <v>0.29429919428880069</v>
      </c>
      <c r="C230" s="135">
        <f t="shared" ref="C230:P230" si="81">C228-C217</f>
        <v>2.4524932857399762E-2</v>
      </c>
      <c r="D230" s="135">
        <f t="shared" si="81"/>
        <v>-0.27904801620763253</v>
      </c>
      <c r="E230" s="135">
        <f t="shared" si="81"/>
        <v>-0.15470309640699309</v>
      </c>
      <c r="F230" s="135">
        <f t="shared" si="81"/>
        <v>-3.4417346560275508E-2</v>
      </c>
      <c r="G230" s="135">
        <f t="shared" si="81"/>
        <v>0.21018940729122004</v>
      </c>
      <c r="H230" s="135">
        <f t="shared" si="81"/>
        <v>0.30967082518816613</v>
      </c>
      <c r="I230" s="135">
        <f t="shared" si="81"/>
        <v>0.21516486402729829</v>
      </c>
      <c r="J230" s="135">
        <f t="shared" si="81"/>
        <v>0.28125531068040788</v>
      </c>
      <c r="K230" s="135">
        <f t="shared" si="81"/>
        <v>0.116882099314773</v>
      </c>
      <c r="L230" s="135">
        <f t="shared" si="81"/>
        <v>0.1516010465852855</v>
      </c>
      <c r="M230" s="135">
        <f t="shared" si="81"/>
        <v>-3.6794621775781078E-2</v>
      </c>
      <c r="N230" s="135">
        <f t="shared" si="81"/>
        <v>-0.26164265330191649</v>
      </c>
      <c r="O230" s="135">
        <f t="shared" si="81"/>
        <v>-0.22385862454575345</v>
      </c>
      <c r="P230" s="135">
        <f t="shared" si="81"/>
        <v>0.29429919428880424</v>
      </c>
    </row>
    <row r="231" spans="1:16" x14ac:dyDescent="0.25">
      <c r="A231" s="27" t="s">
        <v>132</v>
      </c>
    </row>
    <row r="232" spans="1:16" x14ac:dyDescent="0.25">
      <c r="A232" s="27"/>
    </row>
    <row r="233" spans="1:16" x14ac:dyDescent="0.25">
      <c r="A233" s="27"/>
    </row>
    <row r="234" spans="1:16" ht="18.75" x14ac:dyDescent="0.3">
      <c r="A234" s="33" t="s">
        <v>184</v>
      </c>
      <c r="D234" s="3" t="s">
        <v>288</v>
      </c>
      <c r="E234" s="3" t="s">
        <v>290</v>
      </c>
    </row>
    <row r="235" spans="1:16" x14ac:dyDescent="0.25">
      <c r="A235" s="27"/>
      <c r="D235" s="3" t="s">
        <v>289</v>
      </c>
      <c r="E235" s="3" t="s">
        <v>291</v>
      </c>
    </row>
    <row r="236" spans="1:16" x14ac:dyDescent="0.25">
      <c r="A236" s="27" t="s">
        <v>168</v>
      </c>
      <c r="B236" s="59">
        <f>B225</f>
        <v>6.5</v>
      </c>
      <c r="C236" s="18" t="s">
        <v>62</v>
      </c>
      <c r="D236">
        <v>12</v>
      </c>
      <c r="E236" s="6">
        <f>1000*B236/D236</f>
        <v>541.66666666666663</v>
      </c>
    </row>
    <row r="237" spans="1:16" x14ac:dyDescent="0.25">
      <c r="A237" s="27" t="s">
        <v>170</v>
      </c>
      <c r="B237" s="41">
        <v>1250</v>
      </c>
      <c r="C237" s="1" t="s">
        <v>149</v>
      </c>
    </row>
    <row r="238" spans="1:16" x14ac:dyDescent="0.25">
      <c r="A238" s="27" t="s">
        <v>171</v>
      </c>
      <c r="B238" s="62">
        <f>B225*B237/1000</f>
        <v>8.125</v>
      </c>
      <c r="C238" s="1" t="s">
        <v>146</v>
      </c>
    </row>
    <row r="239" spans="1:16" x14ac:dyDescent="0.25">
      <c r="A239" s="27" t="s">
        <v>195</v>
      </c>
      <c r="B239" s="34">
        <f>B226</f>
        <v>17.082000000000001</v>
      </c>
      <c r="C239" s="1" t="s">
        <v>63</v>
      </c>
    </row>
    <row r="240" spans="1:16" x14ac:dyDescent="0.25">
      <c r="A240" s="27"/>
    </row>
    <row r="241" spans="1:3" x14ac:dyDescent="0.25">
      <c r="A241" s="27" t="s">
        <v>167</v>
      </c>
      <c r="B241" s="59">
        <f>B222</f>
        <v>6.5</v>
      </c>
      <c r="C241" s="18" t="s">
        <v>62</v>
      </c>
    </row>
    <row r="242" spans="1:3" x14ac:dyDescent="0.25">
      <c r="A242" s="27" t="s">
        <v>190</v>
      </c>
      <c r="B242" s="59">
        <f>B223</f>
        <v>4.7420933580864197</v>
      </c>
      <c r="C242" s="18" t="s">
        <v>63</v>
      </c>
    </row>
    <row r="243" spans="1:3" x14ac:dyDescent="0.25">
      <c r="A243" s="27"/>
      <c r="B243" s="18"/>
      <c r="C243" s="18"/>
    </row>
    <row r="244" spans="1:3" x14ac:dyDescent="0.25">
      <c r="A244" s="27" t="s">
        <v>172</v>
      </c>
    </row>
    <row r="245" spans="1:3" x14ac:dyDescent="0.25">
      <c r="A245" s="27"/>
    </row>
    <row r="246" spans="1:3" x14ac:dyDescent="0.25">
      <c r="A246" s="27" t="s">
        <v>176</v>
      </c>
    </row>
    <row r="247" spans="1:3" x14ac:dyDescent="0.25">
      <c r="A247" s="27" t="s">
        <v>64</v>
      </c>
      <c r="B247" s="63">
        <f>G92</f>
        <v>5.1185544112192991</v>
      </c>
      <c r="C247" s="1" t="s">
        <v>62</v>
      </c>
    </row>
    <row r="248" spans="1:3" x14ac:dyDescent="0.25">
      <c r="A248" s="27" t="s">
        <v>177</v>
      </c>
      <c r="B248" s="43">
        <v>0.8</v>
      </c>
    </row>
    <row r="249" spans="1:3" x14ac:dyDescent="0.25">
      <c r="A249" s="27" t="s">
        <v>178</v>
      </c>
      <c r="B249" s="64">
        <f>B247*B248</f>
        <v>4.0948435289754395</v>
      </c>
      <c r="C249" s="1" t="s">
        <v>62</v>
      </c>
    </row>
    <row r="250" spans="1:3" x14ac:dyDescent="0.25">
      <c r="A250" s="27" t="s">
        <v>147</v>
      </c>
      <c r="B250" s="37">
        <f>B95</f>
        <v>750</v>
      </c>
      <c r="C250" s="17" t="s">
        <v>149</v>
      </c>
    </row>
    <row r="251" spans="1:3" x14ac:dyDescent="0.25">
      <c r="A251" s="27" t="s">
        <v>180</v>
      </c>
      <c r="B251" s="62">
        <f>B249*B250/1000</f>
        <v>3.0711326467315794</v>
      </c>
      <c r="C251" s="1" t="s">
        <v>146</v>
      </c>
    </row>
    <row r="252" spans="1:3" x14ac:dyDescent="0.25">
      <c r="A252" s="27" t="s">
        <v>189</v>
      </c>
      <c r="B252" s="64">
        <f>G93*B248</f>
        <v>3.1243656126082602</v>
      </c>
      <c r="C252" s="1" t="s">
        <v>63</v>
      </c>
    </row>
    <row r="253" spans="1:3" x14ac:dyDescent="0.25">
      <c r="A253" s="27"/>
      <c r="B253" s="41"/>
      <c r="C253" s="1"/>
    </row>
    <row r="254" spans="1:3" x14ac:dyDescent="0.25">
      <c r="A254" s="27" t="s">
        <v>196</v>
      </c>
      <c r="B254" s="59">
        <f>B242-B252</f>
        <v>1.6177277454781596</v>
      </c>
      <c r="C254" s="18" t="s">
        <v>63</v>
      </c>
    </row>
    <row r="255" spans="1:3" x14ac:dyDescent="0.25">
      <c r="A255" s="27" t="s">
        <v>179</v>
      </c>
    </row>
    <row r="256" spans="1:3" x14ac:dyDescent="0.25">
      <c r="A256" s="27" t="s">
        <v>66</v>
      </c>
      <c r="B256" s="42">
        <f>G24</f>
        <v>11.405785079162706</v>
      </c>
      <c r="C256" s="1" t="s">
        <v>62</v>
      </c>
    </row>
    <row r="257" spans="1:3" x14ac:dyDescent="0.25">
      <c r="A257" s="27" t="s">
        <v>181</v>
      </c>
      <c r="B257" s="43">
        <f>B254/G25</f>
        <v>0.20082685604727485</v>
      </c>
    </row>
    <row r="258" spans="1:3" x14ac:dyDescent="0.25">
      <c r="A258" s="27" t="s">
        <v>182</v>
      </c>
      <c r="B258" s="64">
        <f>B256*B257</f>
        <v>2.2905879581991644</v>
      </c>
      <c r="C258" s="1" t="s">
        <v>62</v>
      </c>
    </row>
    <row r="259" spans="1:3" x14ac:dyDescent="0.25">
      <c r="A259" s="27" t="s">
        <v>145</v>
      </c>
      <c r="B259" s="37">
        <f>B27</f>
        <v>900</v>
      </c>
      <c r="C259" s="17" t="s">
        <v>149</v>
      </c>
    </row>
    <row r="260" spans="1:3" x14ac:dyDescent="0.25">
      <c r="A260" s="27" t="s">
        <v>183</v>
      </c>
      <c r="B260" s="62">
        <f>B258*B259/1000</f>
        <v>2.0615291623792475</v>
      </c>
      <c r="C260" s="1" t="s">
        <v>146</v>
      </c>
    </row>
    <row r="261" spans="1:3" x14ac:dyDescent="0.25">
      <c r="A261" s="27" t="s">
        <v>188</v>
      </c>
      <c r="B261" s="64">
        <f>G25*B257</f>
        <v>1.6177277454781596</v>
      </c>
      <c r="C261" s="1" t="s">
        <v>63</v>
      </c>
    </row>
    <row r="262" spans="1:3" x14ac:dyDescent="0.25">
      <c r="A262" s="27"/>
      <c r="B262" s="41"/>
      <c r="C262" s="1"/>
    </row>
    <row r="263" spans="1:3" ht="18.75" x14ac:dyDescent="0.3">
      <c r="A263" s="33" t="s">
        <v>185</v>
      </c>
      <c r="B263" s="65">
        <f>B238+B251+B260</f>
        <v>13.257661809110827</v>
      </c>
      <c r="C263" s="2" t="s">
        <v>146</v>
      </c>
    </row>
    <row r="264" spans="1:3" ht="18.75" x14ac:dyDescent="0.3">
      <c r="A264" s="33"/>
      <c r="B264" s="65"/>
      <c r="C264" s="2"/>
    </row>
    <row r="265" spans="1:3" ht="15.75" x14ac:dyDescent="0.25">
      <c r="A265" s="27" t="s">
        <v>309</v>
      </c>
      <c r="B265" s="46">
        <f>100*$B$367*B238/(B239)</f>
        <v>3.329528158295282</v>
      </c>
      <c r="C265" s="46" t="s">
        <v>161</v>
      </c>
    </row>
    <row r="266" spans="1:3" ht="15.75" x14ac:dyDescent="0.25">
      <c r="A266" s="27" t="s">
        <v>310</v>
      </c>
      <c r="B266" s="46">
        <f>100*$B$367*B251/(B252)</f>
        <v>6.8807339449541294</v>
      </c>
      <c r="C266" s="46" t="s">
        <v>161</v>
      </c>
    </row>
    <row r="267" spans="1:3" ht="15.75" x14ac:dyDescent="0.25">
      <c r="A267" s="27" t="s">
        <v>311</v>
      </c>
      <c r="B267" s="46">
        <f>100*$B$367*B260/(B261)</f>
        <v>8.9203539823008864</v>
      </c>
      <c r="C267" s="46" t="s">
        <v>161</v>
      </c>
    </row>
    <row r="268" spans="1:3" ht="18.75" x14ac:dyDescent="0.3">
      <c r="A268" s="33"/>
      <c r="B268" s="45"/>
      <c r="C268" s="2"/>
    </row>
    <row r="269" spans="1:3" ht="15.75" x14ac:dyDescent="0.25">
      <c r="A269" s="27" t="s">
        <v>186</v>
      </c>
      <c r="B269" s="46">
        <f>100*$B$367*B263/(B239+B252+B261)</f>
        <v>4.2523476756201442</v>
      </c>
      <c r="C269" s="46" t="s">
        <v>161</v>
      </c>
    </row>
    <row r="270" spans="1:3" ht="15.75" x14ac:dyDescent="0.25">
      <c r="A270" s="27"/>
      <c r="B270" s="46"/>
      <c r="C270" s="46"/>
    </row>
    <row r="271" spans="1:3" x14ac:dyDescent="0.25">
      <c r="A271" s="25" t="s">
        <v>206</v>
      </c>
      <c r="B271" s="47">
        <v>21</v>
      </c>
      <c r="C271" s="47" t="s">
        <v>161</v>
      </c>
    </row>
    <row r="272" spans="1:3" x14ac:dyDescent="0.25">
      <c r="A272" s="25" t="s">
        <v>207</v>
      </c>
      <c r="B272" s="47">
        <v>14</v>
      </c>
      <c r="C272" s="47" t="s">
        <v>161</v>
      </c>
    </row>
    <row r="273" spans="1:4" ht="15.75" x14ac:dyDescent="0.25">
      <c r="A273" s="27"/>
      <c r="B273" s="46"/>
      <c r="C273" s="46"/>
    </row>
    <row r="274" spans="1:4" ht="15.75" x14ac:dyDescent="0.25">
      <c r="A274" s="27" t="s">
        <v>208</v>
      </c>
      <c r="B274" s="18">
        <f>B207</f>
        <v>21.529794163797622</v>
      </c>
      <c r="C274" s="46" t="s">
        <v>63</v>
      </c>
    </row>
    <row r="275" spans="1:4" ht="15.75" x14ac:dyDescent="0.25">
      <c r="A275" s="27" t="s">
        <v>209</v>
      </c>
      <c r="B275" s="46">
        <f>G80+G36+B156</f>
        <v>10.884054348904096</v>
      </c>
      <c r="C275" s="46" t="s">
        <v>63</v>
      </c>
    </row>
    <row r="276" spans="1:4" ht="15.75" x14ac:dyDescent="0.25">
      <c r="A276" s="27" t="s">
        <v>212</v>
      </c>
      <c r="B276" s="46">
        <f>G111+G102+C156+D156+E156</f>
        <v>10.645739814893528</v>
      </c>
      <c r="C276" s="46" t="s">
        <v>63</v>
      </c>
    </row>
    <row r="277" spans="1:4" ht="15.75" x14ac:dyDescent="0.25">
      <c r="A277" s="27"/>
      <c r="B277" s="46"/>
      <c r="C277" s="46"/>
    </row>
    <row r="278" spans="1:4" ht="15.75" x14ac:dyDescent="0.25">
      <c r="A278" s="27" t="s">
        <v>214</v>
      </c>
      <c r="B278" s="48">
        <f>(B275*B271+B276*B272)/100</f>
        <v>3.776054987354954</v>
      </c>
      <c r="C278" s="46" t="s">
        <v>213</v>
      </c>
    </row>
    <row r="279" spans="1:4" ht="15.75" x14ac:dyDescent="0.25">
      <c r="A279" s="27" t="s">
        <v>215</v>
      </c>
      <c r="B279" s="46"/>
      <c r="C279" s="46"/>
    </row>
    <row r="280" spans="1:4" x14ac:dyDescent="0.25">
      <c r="A280" s="27"/>
      <c r="B280" s="41"/>
      <c r="C280" s="1"/>
    </row>
    <row r="281" spans="1:4" ht="15.75" x14ac:dyDescent="0.25">
      <c r="A281" s="27" t="s">
        <v>214</v>
      </c>
      <c r="B281" s="48">
        <f>B274*B269/100</f>
        <v>0.91552170169004965</v>
      </c>
      <c r="C281" s="46" t="s">
        <v>213</v>
      </c>
    </row>
    <row r="282" spans="1:4" x14ac:dyDescent="0.25">
      <c r="A282" s="27" t="s">
        <v>216</v>
      </c>
      <c r="B282" s="41"/>
      <c r="C282" s="1"/>
    </row>
    <row r="283" spans="1:4" ht="15.75" x14ac:dyDescent="0.25">
      <c r="A283" s="27" t="s">
        <v>217</v>
      </c>
      <c r="B283" s="50">
        <f>1-B281/B278</f>
        <v>0.75754545292483866</v>
      </c>
      <c r="C283" s="1"/>
    </row>
    <row r="284" spans="1:4" ht="15.75" x14ac:dyDescent="0.25">
      <c r="A284" s="27"/>
      <c r="B284" s="50"/>
      <c r="C284" s="1"/>
    </row>
    <row r="285" spans="1:4" ht="18.75" x14ac:dyDescent="0.3">
      <c r="A285" s="33" t="s">
        <v>253</v>
      </c>
      <c r="B285" s="50"/>
      <c r="C285" s="1"/>
    </row>
    <row r="286" spans="1:4" ht="15.75" x14ac:dyDescent="0.25">
      <c r="A286" s="27"/>
      <c r="B286" s="50"/>
      <c r="C286" s="1"/>
    </row>
    <row r="287" spans="1:4" x14ac:dyDescent="0.25">
      <c r="A287" s="27"/>
      <c r="B287" s="27" t="s">
        <v>254</v>
      </c>
      <c r="C287" s="1" t="s">
        <v>262</v>
      </c>
      <c r="D287" s="1"/>
    </row>
    <row r="288" spans="1:4" ht="15.75" x14ac:dyDescent="0.25">
      <c r="A288" s="27"/>
      <c r="B288" s="100" t="s">
        <v>263</v>
      </c>
      <c r="C288" s="27" t="s">
        <v>261</v>
      </c>
      <c r="D288" s="27" t="s">
        <v>260</v>
      </c>
    </row>
    <row r="289" spans="1:4" x14ac:dyDescent="0.25">
      <c r="A289" s="25" t="s">
        <v>255</v>
      </c>
      <c r="B289" s="104">
        <f>B238</f>
        <v>8.125</v>
      </c>
      <c r="C289" s="105">
        <f>B289*$B$367</f>
        <v>0.56875000000000009</v>
      </c>
      <c r="D289" s="43">
        <f>C289/B289</f>
        <v>7.0000000000000007E-2</v>
      </c>
    </row>
    <row r="290" spans="1:4" x14ac:dyDescent="0.25">
      <c r="A290" s="25" t="s">
        <v>256</v>
      </c>
      <c r="B290" s="104">
        <f>B251</f>
        <v>3.0711326467315794</v>
      </c>
      <c r="C290" s="105">
        <f>B290*$B$367</f>
        <v>0.21497928527121057</v>
      </c>
      <c r="D290" s="43">
        <f t="shared" ref="D290:D303" si="82">C290/B290</f>
        <v>7.0000000000000007E-2</v>
      </c>
    </row>
    <row r="291" spans="1:4" x14ac:dyDescent="0.25">
      <c r="A291" s="25" t="s">
        <v>257</v>
      </c>
      <c r="B291" s="104">
        <f>B260</f>
        <v>2.0615291623792475</v>
      </c>
      <c r="C291" s="105">
        <f>B291*$B$367</f>
        <v>0.14430704136654735</v>
      </c>
      <c r="D291" s="43">
        <f t="shared" si="82"/>
        <v>7.0000000000000007E-2</v>
      </c>
    </row>
    <row r="292" spans="1:4" x14ac:dyDescent="0.25">
      <c r="A292" s="25" t="s">
        <v>258</v>
      </c>
      <c r="B292" s="104">
        <f>G40</f>
        <v>6.7567688188039279</v>
      </c>
      <c r="C292" s="105">
        <f>G38</f>
        <v>0.30590173739950433</v>
      </c>
      <c r="D292" s="43">
        <f t="shared" si="82"/>
        <v>4.5273376313865736E-2</v>
      </c>
    </row>
    <row r="293" spans="1:4" x14ac:dyDescent="0.25">
      <c r="A293" s="25" t="s">
        <v>259</v>
      </c>
      <c r="B293" s="104">
        <f>G106</f>
        <v>1.2678146385004463</v>
      </c>
      <c r="C293" s="105">
        <f>G104</f>
        <v>7.6544788567396244E-2</v>
      </c>
      <c r="D293" s="43">
        <f t="shared" si="82"/>
        <v>6.0375378421195995E-2</v>
      </c>
    </row>
    <row r="294" spans="1:4" x14ac:dyDescent="0.25">
      <c r="A294" s="3" t="s">
        <v>356</v>
      </c>
      <c r="B294" s="104">
        <f>G62</f>
        <v>0.15075944451056233</v>
      </c>
      <c r="C294" s="105">
        <f>B294/$B$418</f>
        <v>7.5379722255281166E-3</v>
      </c>
      <c r="D294" s="43">
        <f t="shared" si="82"/>
        <v>4.9999999999999996E-2</v>
      </c>
    </row>
    <row r="295" spans="1:4" x14ac:dyDescent="0.25">
      <c r="A295" s="3" t="s">
        <v>357</v>
      </c>
      <c r="B295" s="104">
        <f t="shared" ref="B295:B297" si="83">G63</f>
        <v>0.29757327557706342</v>
      </c>
      <c r="C295" s="105">
        <f t="shared" ref="C295:C297" si="84">B295/$B$418</f>
        <v>1.4878663778853171E-2</v>
      </c>
      <c r="D295" s="43">
        <f t="shared" si="82"/>
        <v>0.05</v>
      </c>
    </row>
    <row r="296" spans="1:4" x14ac:dyDescent="0.25">
      <c r="A296" s="3" t="s">
        <v>358</v>
      </c>
      <c r="B296" s="104">
        <f t="shared" si="83"/>
        <v>3.6017063423358495</v>
      </c>
      <c r="C296" s="105">
        <f t="shared" si="84"/>
        <v>0.18008531711679249</v>
      </c>
      <c r="D296" s="43">
        <f t="shared" si="82"/>
        <v>0.05</v>
      </c>
    </row>
    <row r="297" spans="1:4" x14ac:dyDescent="0.25">
      <c r="A297" s="3" t="s">
        <v>359</v>
      </c>
      <c r="B297" s="104">
        <f t="shared" si="83"/>
        <v>0.28325249553704257</v>
      </c>
      <c r="C297" s="105">
        <f t="shared" si="84"/>
        <v>1.4162624776852128E-2</v>
      </c>
      <c r="D297" s="43">
        <f t="shared" si="82"/>
        <v>4.9999999999999996E-2</v>
      </c>
    </row>
    <row r="298" spans="1:4" x14ac:dyDescent="0.25">
      <c r="A298" s="25" t="s">
        <v>264</v>
      </c>
      <c r="B298" s="104">
        <f>B161</f>
        <v>39.274025587622731</v>
      </c>
      <c r="C298" s="60">
        <f>B176</f>
        <v>1.9141477340347233</v>
      </c>
      <c r="D298" s="43">
        <f t="shared" si="82"/>
        <v>4.873826162189928E-2</v>
      </c>
    </row>
    <row r="299" spans="1:4" x14ac:dyDescent="0.25">
      <c r="A299" s="25" t="s">
        <v>265</v>
      </c>
      <c r="B299" s="104">
        <f>C161</f>
        <v>7.2002380243975024</v>
      </c>
      <c r="C299" s="60">
        <f>C176</f>
        <v>0.44660807028227806</v>
      </c>
      <c r="D299" s="43">
        <f t="shared" si="82"/>
        <v>6.202684810821224E-2</v>
      </c>
    </row>
    <row r="300" spans="1:4" x14ac:dyDescent="0.25">
      <c r="A300" s="25" t="s">
        <v>266</v>
      </c>
      <c r="B300" s="104">
        <f>D161</f>
        <v>6.1365664980660526</v>
      </c>
      <c r="C300" s="60">
        <f>D176</f>
        <v>0.40129027272325579</v>
      </c>
      <c r="D300" s="43">
        <f t="shared" si="82"/>
        <v>6.5393290018078185E-2</v>
      </c>
    </row>
    <row r="301" spans="1:4" x14ac:dyDescent="0.25">
      <c r="A301" s="25" t="s">
        <v>267</v>
      </c>
      <c r="B301" s="104">
        <f>E161</f>
        <v>1.2273132996132103</v>
      </c>
      <c r="C301" s="60">
        <f>E176</f>
        <v>8.0040597758948326E-2</v>
      </c>
      <c r="D301" s="43">
        <f t="shared" si="82"/>
        <v>6.5216108864927347E-2</v>
      </c>
    </row>
    <row r="302" spans="1:4" x14ac:dyDescent="0.25">
      <c r="A302" s="25"/>
      <c r="B302" s="81"/>
      <c r="C302" s="1"/>
      <c r="D302" s="43"/>
    </row>
    <row r="303" spans="1:4" ht="15.75" x14ac:dyDescent="0.25">
      <c r="A303" s="27" t="s">
        <v>13</v>
      </c>
      <c r="B303" s="102">
        <f>SUM(B289:B301)</f>
        <v>79.453680234075236</v>
      </c>
      <c r="C303" s="102">
        <f>SUM(C289:C301)</f>
        <v>4.3692341053018904</v>
      </c>
      <c r="D303" s="43">
        <f t="shared" si="82"/>
        <v>5.4990959417233642E-2</v>
      </c>
    </row>
    <row r="304" spans="1:4" x14ac:dyDescent="0.25">
      <c r="A304" s="27"/>
      <c r="B304" s="27" t="s">
        <v>146</v>
      </c>
      <c r="C304" s="27" t="s">
        <v>146</v>
      </c>
      <c r="D304" s="43"/>
    </row>
    <row r="305" spans="1:34" x14ac:dyDescent="0.25">
      <c r="A305" s="27"/>
      <c r="B305" s="27"/>
      <c r="C305" s="27"/>
      <c r="D305" s="43"/>
    </row>
    <row r="306" spans="1:34" x14ac:dyDescent="0.25">
      <c r="A306" s="27" t="s">
        <v>293</v>
      </c>
      <c r="B306" s="27"/>
      <c r="C306" s="27"/>
      <c r="D306" s="43"/>
      <c r="AH306" s="122" t="s">
        <v>293</v>
      </c>
    </row>
    <row r="307" spans="1:34" x14ac:dyDescent="0.25">
      <c r="A307" s="27"/>
      <c r="B307" s="27"/>
      <c r="C307" s="27"/>
      <c r="D307" s="43"/>
      <c r="AH307" s="122"/>
    </row>
    <row r="308" spans="1:34" x14ac:dyDescent="0.25">
      <c r="A308" s="27" t="s">
        <v>294</v>
      </c>
      <c r="B308" s="27">
        <v>2022</v>
      </c>
      <c r="C308" s="27">
        <f>B308+1</f>
        <v>2023</v>
      </c>
      <c r="D308" s="27">
        <f t="shared" ref="D308:AE308" si="85">C308+1</f>
        <v>2024</v>
      </c>
      <c r="E308" s="27">
        <f t="shared" si="85"/>
        <v>2025</v>
      </c>
      <c r="F308" s="27">
        <f t="shared" si="85"/>
        <v>2026</v>
      </c>
      <c r="G308" s="27">
        <f t="shared" si="85"/>
        <v>2027</v>
      </c>
      <c r="H308" s="27">
        <f t="shared" si="85"/>
        <v>2028</v>
      </c>
      <c r="I308" s="27">
        <f t="shared" si="85"/>
        <v>2029</v>
      </c>
      <c r="J308" s="27">
        <f t="shared" si="85"/>
        <v>2030</v>
      </c>
      <c r="K308" s="27">
        <f t="shared" si="85"/>
        <v>2031</v>
      </c>
      <c r="L308" s="27">
        <f t="shared" si="85"/>
        <v>2032</v>
      </c>
      <c r="M308" s="27">
        <f t="shared" si="85"/>
        <v>2033</v>
      </c>
      <c r="N308" s="27">
        <f t="shared" si="85"/>
        <v>2034</v>
      </c>
      <c r="O308" s="27">
        <f t="shared" si="85"/>
        <v>2035</v>
      </c>
      <c r="P308" s="27">
        <f t="shared" si="85"/>
        <v>2036</v>
      </c>
      <c r="Q308" s="27">
        <f t="shared" si="85"/>
        <v>2037</v>
      </c>
      <c r="R308" s="27">
        <f t="shared" si="85"/>
        <v>2038</v>
      </c>
      <c r="S308" s="27">
        <f t="shared" si="85"/>
        <v>2039</v>
      </c>
      <c r="T308" s="27">
        <f t="shared" si="85"/>
        <v>2040</v>
      </c>
      <c r="U308" s="27">
        <f t="shared" si="85"/>
        <v>2041</v>
      </c>
      <c r="V308" s="27">
        <f t="shared" si="85"/>
        <v>2042</v>
      </c>
      <c r="W308" s="27">
        <f t="shared" si="85"/>
        <v>2043</v>
      </c>
      <c r="X308" s="27">
        <f t="shared" si="85"/>
        <v>2044</v>
      </c>
      <c r="Y308" s="27">
        <f t="shared" si="85"/>
        <v>2045</v>
      </c>
      <c r="Z308" s="27">
        <f t="shared" si="85"/>
        <v>2046</v>
      </c>
      <c r="AA308" s="27">
        <f t="shared" si="85"/>
        <v>2047</v>
      </c>
      <c r="AB308" s="27">
        <f t="shared" si="85"/>
        <v>2048</v>
      </c>
      <c r="AC308" s="27">
        <f t="shared" si="85"/>
        <v>2049</v>
      </c>
      <c r="AD308" s="27">
        <f t="shared" si="85"/>
        <v>2050</v>
      </c>
      <c r="AE308" s="27">
        <f t="shared" si="85"/>
        <v>2051</v>
      </c>
      <c r="AF308" s="27" t="s">
        <v>13</v>
      </c>
      <c r="AH308" s="122" t="s">
        <v>294</v>
      </c>
    </row>
    <row r="309" spans="1:34" x14ac:dyDescent="0.25">
      <c r="A309" s="27" t="s">
        <v>299</v>
      </c>
      <c r="B309" s="104">
        <f t="shared" ref="B309:AE309" si="86">IF(B308-2021&lt;=$B$399,$B$303/$B$399,0)</f>
        <v>7.9453680234075232</v>
      </c>
      <c r="C309" s="104">
        <f t="shared" si="86"/>
        <v>7.9453680234075232</v>
      </c>
      <c r="D309" s="104">
        <f t="shared" si="86"/>
        <v>7.9453680234075232</v>
      </c>
      <c r="E309" s="104">
        <f t="shared" si="86"/>
        <v>7.9453680234075232</v>
      </c>
      <c r="F309" s="104">
        <f t="shared" si="86"/>
        <v>7.9453680234075232</v>
      </c>
      <c r="G309" s="104">
        <f t="shared" si="86"/>
        <v>7.9453680234075232</v>
      </c>
      <c r="H309" s="104">
        <f t="shared" si="86"/>
        <v>7.9453680234075232</v>
      </c>
      <c r="I309" s="104">
        <f t="shared" si="86"/>
        <v>7.9453680234075232</v>
      </c>
      <c r="J309" s="104">
        <f t="shared" si="86"/>
        <v>7.9453680234075232</v>
      </c>
      <c r="K309" s="104">
        <f t="shared" si="86"/>
        <v>7.9453680234075232</v>
      </c>
      <c r="L309" s="104">
        <f t="shared" si="86"/>
        <v>0</v>
      </c>
      <c r="M309" s="104">
        <f t="shared" si="86"/>
        <v>0</v>
      </c>
      <c r="N309" s="104">
        <f t="shared" si="86"/>
        <v>0</v>
      </c>
      <c r="O309" s="104">
        <f t="shared" si="86"/>
        <v>0</v>
      </c>
      <c r="P309" s="104">
        <f t="shared" si="86"/>
        <v>0</v>
      </c>
      <c r="Q309" s="104">
        <f t="shared" si="86"/>
        <v>0</v>
      </c>
      <c r="R309" s="104">
        <f t="shared" si="86"/>
        <v>0</v>
      </c>
      <c r="S309" s="104">
        <f t="shared" si="86"/>
        <v>0</v>
      </c>
      <c r="T309" s="104">
        <f t="shared" si="86"/>
        <v>0</v>
      </c>
      <c r="U309" s="104">
        <f t="shared" si="86"/>
        <v>0</v>
      </c>
      <c r="V309" s="104">
        <f t="shared" si="86"/>
        <v>0</v>
      </c>
      <c r="W309" s="104">
        <f t="shared" si="86"/>
        <v>0</v>
      </c>
      <c r="X309" s="104">
        <f t="shared" si="86"/>
        <v>0</v>
      </c>
      <c r="Y309" s="104">
        <f t="shared" si="86"/>
        <v>0</v>
      </c>
      <c r="Z309" s="104">
        <f t="shared" si="86"/>
        <v>0</v>
      </c>
      <c r="AA309" s="104">
        <f t="shared" si="86"/>
        <v>0</v>
      </c>
      <c r="AB309" s="104">
        <f t="shared" si="86"/>
        <v>0</v>
      </c>
      <c r="AC309" s="104">
        <f t="shared" si="86"/>
        <v>0</v>
      </c>
      <c r="AD309" s="104">
        <f t="shared" si="86"/>
        <v>0</v>
      </c>
      <c r="AE309" s="104">
        <f t="shared" si="86"/>
        <v>0</v>
      </c>
      <c r="AF309" s="18">
        <f>SUM(B309:AE309)</f>
        <v>79.453680234075236</v>
      </c>
      <c r="AH309" s="122" t="s">
        <v>299</v>
      </c>
    </row>
    <row r="310" spans="1:34" x14ac:dyDescent="0.25">
      <c r="A310" s="27" t="s">
        <v>300</v>
      </c>
      <c r="B310" s="104">
        <f>B309</f>
        <v>7.9453680234075232</v>
      </c>
      <c r="C310" s="104">
        <f>B310+C309</f>
        <v>15.890736046815046</v>
      </c>
      <c r="D310" s="104">
        <f t="shared" ref="D310:AE310" si="87">C310+D309</f>
        <v>23.836104070222568</v>
      </c>
      <c r="E310" s="104">
        <f t="shared" si="87"/>
        <v>31.781472093630093</v>
      </c>
      <c r="F310" s="104">
        <f t="shared" si="87"/>
        <v>39.726840117037618</v>
      </c>
      <c r="G310" s="104">
        <f t="shared" si="87"/>
        <v>47.672208140445143</v>
      </c>
      <c r="H310" s="104">
        <f t="shared" si="87"/>
        <v>55.617576163852668</v>
      </c>
      <c r="I310" s="104">
        <f t="shared" si="87"/>
        <v>63.562944187260193</v>
      </c>
      <c r="J310" s="104">
        <f t="shared" si="87"/>
        <v>71.508312210667711</v>
      </c>
      <c r="K310" s="104">
        <f t="shared" si="87"/>
        <v>79.453680234075236</v>
      </c>
      <c r="L310" s="104">
        <f t="shared" si="87"/>
        <v>79.453680234075236</v>
      </c>
      <c r="M310" s="104">
        <f t="shared" si="87"/>
        <v>79.453680234075236</v>
      </c>
      <c r="N310" s="104">
        <f t="shared" si="87"/>
        <v>79.453680234075236</v>
      </c>
      <c r="O310" s="104">
        <f t="shared" si="87"/>
        <v>79.453680234075236</v>
      </c>
      <c r="P310" s="104">
        <f t="shared" si="87"/>
        <v>79.453680234075236</v>
      </c>
      <c r="Q310" s="104">
        <f t="shared" si="87"/>
        <v>79.453680234075236</v>
      </c>
      <c r="R310" s="104">
        <f t="shared" si="87"/>
        <v>79.453680234075236</v>
      </c>
      <c r="S310" s="104">
        <f t="shared" si="87"/>
        <v>79.453680234075236</v>
      </c>
      <c r="T310" s="104">
        <f t="shared" si="87"/>
        <v>79.453680234075236</v>
      </c>
      <c r="U310" s="104">
        <f t="shared" si="87"/>
        <v>79.453680234075236</v>
      </c>
      <c r="V310" s="104">
        <f t="shared" si="87"/>
        <v>79.453680234075236</v>
      </c>
      <c r="W310" s="104">
        <f t="shared" si="87"/>
        <v>79.453680234075236</v>
      </c>
      <c r="X310" s="104">
        <f t="shared" si="87"/>
        <v>79.453680234075236</v>
      </c>
      <c r="Y310" s="104">
        <f t="shared" si="87"/>
        <v>79.453680234075236</v>
      </c>
      <c r="Z310" s="104">
        <f t="shared" si="87"/>
        <v>79.453680234075236</v>
      </c>
      <c r="AA310" s="104">
        <f t="shared" si="87"/>
        <v>79.453680234075236</v>
      </c>
      <c r="AB310" s="104">
        <f t="shared" si="87"/>
        <v>79.453680234075236</v>
      </c>
      <c r="AC310" s="104">
        <f t="shared" si="87"/>
        <v>79.453680234075236</v>
      </c>
      <c r="AD310" s="104">
        <f t="shared" si="87"/>
        <v>79.453680234075236</v>
      </c>
      <c r="AE310" s="104">
        <f t="shared" si="87"/>
        <v>79.453680234075236</v>
      </c>
      <c r="AF310" s="18"/>
      <c r="AH310" s="122" t="s">
        <v>300</v>
      </c>
    </row>
    <row r="311" spans="1:34" x14ac:dyDescent="0.25">
      <c r="A311" s="27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8"/>
      <c r="AH311" s="122"/>
    </row>
    <row r="312" spans="1:34" x14ac:dyDescent="0.25">
      <c r="A312" s="27" t="s">
        <v>297</v>
      </c>
      <c r="B312" s="117">
        <v>0</v>
      </c>
      <c r="C312" s="119">
        <f>(C308-$B308)*0.002375</f>
        <v>2.3749999999999999E-3</v>
      </c>
      <c r="D312" s="119">
        <f t="shared" ref="D312:AE312" si="88">(D308-$B308)*0.002375</f>
        <v>4.7499999999999999E-3</v>
      </c>
      <c r="E312" s="119">
        <f t="shared" si="88"/>
        <v>7.1249999999999994E-3</v>
      </c>
      <c r="F312" s="119">
        <f t="shared" si="88"/>
        <v>9.4999999999999998E-3</v>
      </c>
      <c r="G312" s="119">
        <f t="shared" si="88"/>
        <v>1.1875E-2</v>
      </c>
      <c r="H312" s="119">
        <f t="shared" si="88"/>
        <v>1.4249999999999999E-2</v>
      </c>
      <c r="I312" s="119">
        <f t="shared" si="88"/>
        <v>1.6625000000000001E-2</v>
      </c>
      <c r="J312" s="119">
        <f t="shared" si="88"/>
        <v>1.9E-2</v>
      </c>
      <c r="K312" s="119">
        <f t="shared" si="88"/>
        <v>2.1374999999999998E-2</v>
      </c>
      <c r="L312" s="119">
        <f t="shared" si="88"/>
        <v>2.375E-2</v>
      </c>
      <c r="M312" s="119">
        <f t="shared" si="88"/>
        <v>2.6124999999999999E-2</v>
      </c>
      <c r="N312" s="119">
        <f t="shared" si="88"/>
        <v>2.8499999999999998E-2</v>
      </c>
      <c r="O312" s="119">
        <f t="shared" si="88"/>
        <v>3.0875E-2</v>
      </c>
      <c r="P312" s="119">
        <f t="shared" si="88"/>
        <v>3.3250000000000002E-2</v>
      </c>
      <c r="Q312" s="119">
        <f t="shared" si="88"/>
        <v>3.5624999999999997E-2</v>
      </c>
      <c r="R312" s="119">
        <f t="shared" si="88"/>
        <v>3.7999999999999999E-2</v>
      </c>
      <c r="S312" s="119">
        <f t="shared" si="88"/>
        <v>4.0375000000000001E-2</v>
      </c>
      <c r="T312" s="119">
        <f t="shared" si="88"/>
        <v>4.2749999999999996E-2</v>
      </c>
      <c r="U312" s="119">
        <f t="shared" si="88"/>
        <v>4.5124999999999998E-2</v>
      </c>
      <c r="V312" s="119">
        <f t="shared" si="88"/>
        <v>4.7500000000000001E-2</v>
      </c>
      <c r="W312" s="119">
        <f t="shared" si="88"/>
        <v>4.9874999999999996E-2</v>
      </c>
      <c r="X312" s="119">
        <f t="shared" si="88"/>
        <v>5.2249999999999998E-2</v>
      </c>
      <c r="Y312" s="119">
        <f t="shared" si="88"/>
        <v>5.4625E-2</v>
      </c>
      <c r="Z312" s="119">
        <f t="shared" si="88"/>
        <v>5.6999999999999995E-2</v>
      </c>
      <c r="AA312" s="119">
        <f t="shared" si="88"/>
        <v>5.9374999999999997E-2</v>
      </c>
      <c r="AB312" s="119">
        <f t="shared" si="88"/>
        <v>6.1749999999999999E-2</v>
      </c>
      <c r="AC312" s="119">
        <f t="shared" si="88"/>
        <v>6.4125000000000001E-2</v>
      </c>
      <c r="AD312" s="119">
        <f t="shared" si="88"/>
        <v>6.6500000000000004E-2</v>
      </c>
      <c r="AE312" s="119">
        <f t="shared" si="88"/>
        <v>6.8874999999999992E-2</v>
      </c>
      <c r="AF312" s="126"/>
      <c r="AH312" s="122" t="s">
        <v>297</v>
      </c>
    </row>
    <row r="313" spans="1:34" x14ac:dyDescent="0.25">
      <c r="A313" s="27" t="s">
        <v>303</v>
      </c>
      <c r="B313" s="115">
        <f>B310*B312</f>
        <v>0</v>
      </c>
      <c r="C313" s="115">
        <f t="shared" ref="C313:AE313" si="89">C310*C312</f>
        <v>3.7740498111185732E-2</v>
      </c>
      <c r="D313" s="115">
        <f t="shared" si="89"/>
        <v>0.1132214943335572</v>
      </c>
      <c r="E313" s="115">
        <f t="shared" si="89"/>
        <v>0.2264429886671144</v>
      </c>
      <c r="F313" s="115">
        <f t="shared" si="89"/>
        <v>0.37740498111185738</v>
      </c>
      <c r="G313" s="115">
        <f t="shared" si="89"/>
        <v>0.56610747166778608</v>
      </c>
      <c r="H313" s="115">
        <f t="shared" si="89"/>
        <v>0.7925504603349004</v>
      </c>
      <c r="I313" s="115">
        <f t="shared" si="89"/>
        <v>1.0567339471132007</v>
      </c>
      <c r="J313" s="115">
        <f t="shared" si="89"/>
        <v>1.3586579320026864</v>
      </c>
      <c r="K313" s="115">
        <f t="shared" si="89"/>
        <v>1.698322415003358</v>
      </c>
      <c r="L313" s="115">
        <f t="shared" si="89"/>
        <v>1.8870249055592869</v>
      </c>
      <c r="M313" s="115">
        <f t="shared" si="89"/>
        <v>2.0757273961152154</v>
      </c>
      <c r="N313" s="115">
        <f t="shared" si="89"/>
        <v>2.2644298866711439</v>
      </c>
      <c r="O313" s="115">
        <f t="shared" si="89"/>
        <v>2.4531323772270728</v>
      </c>
      <c r="P313" s="115">
        <f t="shared" si="89"/>
        <v>2.6418348677830017</v>
      </c>
      <c r="Q313" s="115">
        <f t="shared" si="89"/>
        <v>2.8305373583389302</v>
      </c>
      <c r="R313" s="115">
        <f t="shared" si="89"/>
        <v>3.0192398488948591</v>
      </c>
      <c r="S313" s="115">
        <f t="shared" si="89"/>
        <v>3.2079423394507875</v>
      </c>
      <c r="T313" s="115">
        <f t="shared" si="89"/>
        <v>3.396644830006716</v>
      </c>
      <c r="U313" s="115">
        <f t="shared" si="89"/>
        <v>3.5853473205626449</v>
      </c>
      <c r="V313" s="115">
        <f t="shared" si="89"/>
        <v>3.7740498111185738</v>
      </c>
      <c r="W313" s="115">
        <f t="shared" si="89"/>
        <v>3.9627523016745019</v>
      </c>
      <c r="X313" s="115">
        <f t="shared" si="89"/>
        <v>4.1514547922304308</v>
      </c>
      <c r="Y313" s="115">
        <f t="shared" si="89"/>
        <v>4.3401572827863601</v>
      </c>
      <c r="Z313" s="115">
        <f t="shared" si="89"/>
        <v>4.5288597733422877</v>
      </c>
      <c r="AA313" s="115">
        <f t="shared" si="89"/>
        <v>4.7175622638982171</v>
      </c>
      <c r="AB313" s="115">
        <f t="shared" si="89"/>
        <v>4.9062647544541456</v>
      </c>
      <c r="AC313" s="115">
        <f t="shared" si="89"/>
        <v>5.0949672450100749</v>
      </c>
      <c r="AD313" s="115">
        <f t="shared" si="89"/>
        <v>5.2836697355660034</v>
      </c>
      <c r="AE313" s="115">
        <f t="shared" si="89"/>
        <v>5.472372226121931</v>
      </c>
      <c r="AF313" s="18">
        <f>SUM(B313:AE313)</f>
        <v>79.821153505157838</v>
      </c>
      <c r="AH313" s="122" t="s">
        <v>303</v>
      </c>
    </row>
    <row r="314" spans="1:34" x14ac:dyDescent="0.25">
      <c r="A314" s="27" t="s">
        <v>301</v>
      </c>
      <c r="B314" s="115">
        <f>B313</f>
        <v>0</v>
      </c>
      <c r="C314" s="115">
        <f>B314+C313</f>
        <v>3.7740498111185732E-2</v>
      </c>
      <c r="D314" s="115">
        <f t="shared" ref="D314:AE314" si="90">C314+D313</f>
        <v>0.15096199244474293</v>
      </c>
      <c r="E314" s="115">
        <f t="shared" si="90"/>
        <v>0.37740498111185733</v>
      </c>
      <c r="F314" s="115">
        <f t="shared" si="90"/>
        <v>0.75480996222371477</v>
      </c>
      <c r="G314" s="115">
        <f t="shared" si="90"/>
        <v>1.3209174338915008</v>
      </c>
      <c r="H314" s="115">
        <f t="shared" si="90"/>
        <v>2.1134678942264014</v>
      </c>
      <c r="I314" s="115">
        <f t="shared" si="90"/>
        <v>3.170201841339602</v>
      </c>
      <c r="J314" s="115">
        <f t="shared" si="90"/>
        <v>4.5288597733422886</v>
      </c>
      <c r="K314" s="115">
        <f t="shared" si="90"/>
        <v>6.2271821883456466</v>
      </c>
      <c r="L314" s="115">
        <f t="shared" si="90"/>
        <v>8.114207093904934</v>
      </c>
      <c r="M314" s="115">
        <f t="shared" si="90"/>
        <v>10.18993449002015</v>
      </c>
      <c r="N314" s="115">
        <f t="shared" si="90"/>
        <v>12.454364376691293</v>
      </c>
      <c r="O314" s="115">
        <f t="shared" si="90"/>
        <v>14.907496753918366</v>
      </c>
      <c r="P314" s="115">
        <f t="shared" si="90"/>
        <v>17.549331621701366</v>
      </c>
      <c r="Q314" s="115">
        <f t="shared" si="90"/>
        <v>20.379868980040296</v>
      </c>
      <c r="R314" s="115">
        <f t="shared" si="90"/>
        <v>23.399108828935155</v>
      </c>
      <c r="S314" s="115">
        <f t="shared" si="90"/>
        <v>26.607051168385944</v>
      </c>
      <c r="T314" s="115">
        <f t="shared" si="90"/>
        <v>30.003695998392658</v>
      </c>
      <c r="U314" s="115">
        <f t="shared" si="90"/>
        <v>33.589043318955305</v>
      </c>
      <c r="V314" s="115">
        <f t="shared" si="90"/>
        <v>37.363093130073878</v>
      </c>
      <c r="W314" s="115">
        <f t="shared" si="90"/>
        <v>41.325845431748377</v>
      </c>
      <c r="X314" s="115">
        <f t="shared" si="90"/>
        <v>45.477300223978808</v>
      </c>
      <c r="Y314" s="115">
        <f t="shared" si="90"/>
        <v>49.817457506765166</v>
      </c>
      <c r="Z314" s="115">
        <f t="shared" si="90"/>
        <v>54.346317280107456</v>
      </c>
      <c r="AA314" s="115">
        <f t="shared" si="90"/>
        <v>59.063879544005673</v>
      </c>
      <c r="AB314" s="115">
        <f t="shared" si="90"/>
        <v>63.970144298459815</v>
      </c>
      <c r="AC314" s="115">
        <f t="shared" si="90"/>
        <v>69.065111543469897</v>
      </c>
      <c r="AD314" s="115">
        <f t="shared" si="90"/>
        <v>74.348781279035904</v>
      </c>
      <c r="AE314" s="115">
        <f t="shared" si="90"/>
        <v>79.821153505157838</v>
      </c>
      <c r="AF314" s="35"/>
      <c r="AH314" s="122" t="s">
        <v>301</v>
      </c>
    </row>
    <row r="315" spans="1:34" x14ac:dyDescent="0.25">
      <c r="A315" s="27" t="s">
        <v>298</v>
      </c>
      <c r="B315" s="121">
        <f>B310-B314</f>
        <v>7.9453680234075232</v>
      </c>
      <c r="C315" s="121">
        <f t="shared" ref="C315:AE315" si="91">C310-C314</f>
        <v>15.852995548703861</v>
      </c>
      <c r="D315" s="121">
        <f t="shared" si="91"/>
        <v>23.685142077777826</v>
      </c>
      <c r="E315" s="121">
        <f t="shared" si="91"/>
        <v>31.404067112518234</v>
      </c>
      <c r="F315" s="121">
        <f t="shared" si="91"/>
        <v>38.972030154813901</v>
      </c>
      <c r="G315" s="121">
        <f t="shared" si="91"/>
        <v>46.351290706553641</v>
      </c>
      <c r="H315" s="121">
        <f t="shared" si="91"/>
        <v>53.504108269626265</v>
      </c>
      <c r="I315" s="121">
        <f t="shared" si="91"/>
        <v>60.392742345920588</v>
      </c>
      <c r="J315" s="121">
        <f t="shared" si="91"/>
        <v>66.979452437325421</v>
      </c>
      <c r="K315" s="121">
        <f t="shared" si="91"/>
        <v>73.226498045729585</v>
      </c>
      <c r="L315" s="121">
        <f t="shared" si="91"/>
        <v>71.339473140170298</v>
      </c>
      <c r="M315" s="121">
        <f t="shared" si="91"/>
        <v>69.263745744055086</v>
      </c>
      <c r="N315" s="121">
        <f t="shared" si="91"/>
        <v>66.999315857383948</v>
      </c>
      <c r="O315" s="121">
        <f t="shared" si="91"/>
        <v>64.54618348015687</v>
      </c>
      <c r="P315" s="121">
        <f t="shared" si="91"/>
        <v>61.904348612373866</v>
      </c>
      <c r="Q315" s="121">
        <f t="shared" si="91"/>
        <v>59.073811254034936</v>
      </c>
      <c r="R315" s="121">
        <f t="shared" si="91"/>
        <v>56.054571405140081</v>
      </c>
      <c r="S315" s="121">
        <f t="shared" si="91"/>
        <v>52.846629065689292</v>
      </c>
      <c r="T315" s="121">
        <f t="shared" si="91"/>
        <v>49.449984235682578</v>
      </c>
      <c r="U315" s="121">
        <f t="shared" si="91"/>
        <v>45.864636915119931</v>
      </c>
      <c r="V315" s="121">
        <f t="shared" si="91"/>
        <v>42.090587104001358</v>
      </c>
      <c r="W315" s="121">
        <f t="shared" si="91"/>
        <v>38.127834802326859</v>
      </c>
      <c r="X315" s="121">
        <f t="shared" si="91"/>
        <v>33.976380010096427</v>
      </c>
      <c r="Y315" s="121">
        <f t="shared" si="91"/>
        <v>29.63622272731007</v>
      </c>
      <c r="Z315" s="121">
        <f t="shared" si="91"/>
        <v>25.10736295396778</v>
      </c>
      <c r="AA315" s="121">
        <f t="shared" si="91"/>
        <v>20.389800690069563</v>
      </c>
      <c r="AB315" s="121">
        <f t="shared" si="91"/>
        <v>15.483535935615421</v>
      </c>
      <c r="AC315" s="121">
        <f t="shared" si="91"/>
        <v>10.388568690605339</v>
      </c>
      <c r="AD315" s="121">
        <f t="shared" si="91"/>
        <v>5.1048989550393316</v>
      </c>
      <c r="AE315" s="121">
        <f t="shared" si="91"/>
        <v>-0.36747327108260208</v>
      </c>
      <c r="AF315" s="1"/>
      <c r="AH315" s="122" t="s">
        <v>298</v>
      </c>
    </row>
    <row r="316" spans="1:34" x14ac:dyDescent="0.25">
      <c r="A316" s="27" t="s">
        <v>320</v>
      </c>
      <c r="B316" s="124">
        <f>$B$401+(B308-$B308)*B318</f>
        <v>0.03</v>
      </c>
      <c r="C316" s="124">
        <f t="shared" ref="C316:AE316" si="92">$B$401+(C308-$B308)*$B408</f>
        <v>3.1E-2</v>
      </c>
      <c r="D316" s="124">
        <f t="shared" si="92"/>
        <v>3.2000000000000001E-2</v>
      </c>
      <c r="E316" s="124">
        <f t="shared" si="92"/>
        <v>3.3000000000000002E-2</v>
      </c>
      <c r="F316" s="124">
        <f t="shared" si="92"/>
        <v>3.4000000000000002E-2</v>
      </c>
      <c r="G316" s="124">
        <f t="shared" si="92"/>
        <v>3.4999999999999996E-2</v>
      </c>
      <c r="H316" s="124">
        <f t="shared" si="92"/>
        <v>3.5999999999999997E-2</v>
      </c>
      <c r="I316" s="124">
        <f t="shared" si="92"/>
        <v>3.6999999999999998E-2</v>
      </c>
      <c r="J316" s="124">
        <f t="shared" si="92"/>
        <v>3.7999999999999999E-2</v>
      </c>
      <c r="K316" s="124">
        <f t="shared" si="92"/>
        <v>3.9E-2</v>
      </c>
      <c r="L316" s="124">
        <f t="shared" si="92"/>
        <v>0.04</v>
      </c>
      <c r="M316" s="124">
        <f t="shared" si="92"/>
        <v>4.0999999999999995E-2</v>
      </c>
      <c r="N316" s="124">
        <f t="shared" si="92"/>
        <v>4.1999999999999996E-2</v>
      </c>
      <c r="O316" s="124">
        <f t="shared" si="92"/>
        <v>4.2999999999999997E-2</v>
      </c>
      <c r="P316" s="124">
        <f t="shared" si="92"/>
        <v>4.3999999999999997E-2</v>
      </c>
      <c r="Q316" s="124">
        <f t="shared" si="92"/>
        <v>4.4999999999999998E-2</v>
      </c>
      <c r="R316" s="124">
        <f t="shared" si="92"/>
        <v>4.5999999999999999E-2</v>
      </c>
      <c r="S316" s="124">
        <f t="shared" si="92"/>
        <v>4.7E-2</v>
      </c>
      <c r="T316" s="124">
        <f t="shared" si="92"/>
        <v>4.8000000000000001E-2</v>
      </c>
      <c r="U316" s="124">
        <f t="shared" si="92"/>
        <v>4.9000000000000002E-2</v>
      </c>
      <c r="V316" s="124">
        <f t="shared" si="92"/>
        <v>0.05</v>
      </c>
      <c r="W316" s="124">
        <f t="shared" si="92"/>
        <v>5.1000000000000004E-2</v>
      </c>
      <c r="X316" s="124">
        <f t="shared" si="92"/>
        <v>5.1999999999999998E-2</v>
      </c>
      <c r="Y316" s="124">
        <f t="shared" si="92"/>
        <v>5.2999999999999999E-2</v>
      </c>
      <c r="Z316" s="124">
        <f t="shared" si="92"/>
        <v>5.3999999999999999E-2</v>
      </c>
      <c r="AA316" s="124">
        <f t="shared" si="92"/>
        <v>5.5E-2</v>
      </c>
      <c r="AB316" s="124">
        <f t="shared" si="92"/>
        <v>5.6000000000000001E-2</v>
      </c>
      <c r="AC316" s="124">
        <f t="shared" si="92"/>
        <v>5.6999999999999995E-2</v>
      </c>
      <c r="AD316" s="124">
        <f t="shared" si="92"/>
        <v>5.7999999999999996E-2</v>
      </c>
      <c r="AE316" s="124">
        <f t="shared" si="92"/>
        <v>5.8999999999999997E-2</v>
      </c>
      <c r="AF316" s="1"/>
      <c r="AH316" s="122" t="s">
        <v>320</v>
      </c>
    </row>
    <row r="317" spans="1:34" x14ac:dyDescent="0.25">
      <c r="A317" s="27" t="s">
        <v>302</v>
      </c>
      <c r="B317" s="121">
        <f>B316*B315/2</f>
        <v>0.11918052035111285</v>
      </c>
      <c r="C317" s="121">
        <f>B316*(B315+C309/2)</f>
        <v>0.35754156105333851</v>
      </c>
      <c r="D317" s="121">
        <f t="shared" ref="D317:AE317" si="93">C316*(C315+D309/2)</f>
        <v>0.61459606637263631</v>
      </c>
      <c r="E317" s="121">
        <f t="shared" si="93"/>
        <v>0.88505043486341084</v>
      </c>
      <c r="F317" s="121">
        <f t="shared" si="93"/>
        <v>1.167432787099326</v>
      </c>
      <c r="G317" s="121">
        <f t="shared" si="93"/>
        <v>1.4601202816616006</v>
      </c>
      <c r="H317" s="121">
        <f t="shared" si="93"/>
        <v>1.761339115139009</v>
      </c>
      <c r="I317" s="121">
        <f t="shared" si="93"/>
        <v>2.0691645221278807</v>
      </c>
      <c r="J317" s="121">
        <f t="shared" si="93"/>
        <v>2.3815207752321008</v>
      </c>
      <c r="K317" s="121">
        <f t="shared" si="93"/>
        <v>2.696181185063109</v>
      </c>
      <c r="L317" s="121">
        <f t="shared" si="93"/>
        <v>2.8558334237834537</v>
      </c>
      <c r="M317" s="121">
        <f t="shared" si="93"/>
        <v>2.8535789256068118</v>
      </c>
      <c r="N317" s="121">
        <f t="shared" si="93"/>
        <v>2.8398135755062581</v>
      </c>
      <c r="O317" s="121">
        <f t="shared" si="93"/>
        <v>2.8139712660101255</v>
      </c>
      <c r="P317" s="121">
        <f t="shared" si="93"/>
        <v>2.7754858896467454</v>
      </c>
      <c r="Q317" s="121">
        <f t="shared" si="93"/>
        <v>2.7237913389444501</v>
      </c>
      <c r="R317" s="121">
        <f t="shared" si="93"/>
        <v>2.6583215064315722</v>
      </c>
      <c r="S317" s="121">
        <f t="shared" si="93"/>
        <v>2.5785102846364438</v>
      </c>
      <c r="T317" s="121">
        <f t="shared" si="93"/>
        <v>2.4837915660873966</v>
      </c>
      <c r="U317" s="121">
        <f t="shared" si="93"/>
        <v>2.3735992433127637</v>
      </c>
      <c r="V317" s="121">
        <f t="shared" si="93"/>
        <v>2.2473672088408767</v>
      </c>
      <c r="W317" s="121">
        <f t="shared" si="93"/>
        <v>2.1045293552000679</v>
      </c>
      <c r="X317" s="121">
        <f t="shared" si="93"/>
        <v>1.9445195749186699</v>
      </c>
      <c r="Y317" s="121">
        <f t="shared" si="93"/>
        <v>1.7667717605250142</v>
      </c>
      <c r="Z317" s="121">
        <f t="shared" si="93"/>
        <v>1.5707198045474338</v>
      </c>
      <c r="AA317" s="121">
        <f t="shared" si="93"/>
        <v>1.3557975995142602</v>
      </c>
      <c r="AB317" s="121">
        <f t="shared" si="93"/>
        <v>1.1214390379538259</v>
      </c>
      <c r="AC317" s="121">
        <f t="shared" si="93"/>
        <v>0.86707801239446358</v>
      </c>
      <c r="AD317" s="121">
        <f t="shared" si="93"/>
        <v>0.59214841536450424</v>
      </c>
      <c r="AE317" s="121">
        <f t="shared" si="93"/>
        <v>0.29608413939228123</v>
      </c>
      <c r="AF317" s="18">
        <f>SUM(B317:AE317)</f>
        <v>54.335279177580958</v>
      </c>
      <c r="AH317" s="122" t="s">
        <v>302</v>
      </c>
    </row>
    <row r="318" spans="1:34" x14ac:dyDescent="0.25">
      <c r="A318" s="27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8"/>
      <c r="AH318" s="122"/>
    </row>
    <row r="319" spans="1:34" x14ac:dyDescent="0.25">
      <c r="A319" s="27" t="s">
        <v>304</v>
      </c>
      <c r="B319" s="104">
        <f>B313+B317</f>
        <v>0.11918052035111285</v>
      </c>
      <c r="C319" s="104">
        <f t="shared" ref="C319:AE319" si="94">C313+C317</f>
        <v>0.39528205916452425</v>
      </c>
      <c r="D319" s="104">
        <f t="shared" si="94"/>
        <v>0.72781756070619352</v>
      </c>
      <c r="E319" s="104">
        <f t="shared" si="94"/>
        <v>1.1114934235305252</v>
      </c>
      <c r="F319" s="104">
        <f t="shared" si="94"/>
        <v>1.5448377682111833</v>
      </c>
      <c r="G319" s="104">
        <f t="shared" si="94"/>
        <v>2.0262277533293869</v>
      </c>
      <c r="H319" s="104">
        <f t="shared" si="94"/>
        <v>2.5538895754739093</v>
      </c>
      <c r="I319" s="104">
        <f t="shared" si="94"/>
        <v>3.1258984692410814</v>
      </c>
      <c r="J319" s="104">
        <f t="shared" si="94"/>
        <v>3.7401787072347874</v>
      </c>
      <c r="K319" s="104">
        <f t="shared" si="94"/>
        <v>4.394503600066467</v>
      </c>
      <c r="L319" s="104">
        <f t="shared" si="94"/>
        <v>4.7428583293427407</v>
      </c>
      <c r="M319" s="104">
        <f t="shared" si="94"/>
        <v>4.9293063217220272</v>
      </c>
      <c r="N319" s="104">
        <f t="shared" si="94"/>
        <v>5.1042434621774024</v>
      </c>
      <c r="O319" s="104">
        <f t="shared" si="94"/>
        <v>5.2671036432371983</v>
      </c>
      <c r="P319" s="104">
        <f t="shared" si="94"/>
        <v>5.4173207574297475</v>
      </c>
      <c r="Q319" s="104">
        <f t="shared" si="94"/>
        <v>5.5543286972833803</v>
      </c>
      <c r="R319" s="104">
        <f t="shared" si="94"/>
        <v>5.6775613553264312</v>
      </c>
      <c r="S319" s="104">
        <f t="shared" si="94"/>
        <v>5.7864526240872314</v>
      </c>
      <c r="T319" s="104">
        <f t="shared" si="94"/>
        <v>5.8804363960941126</v>
      </c>
      <c r="U319" s="104">
        <f t="shared" si="94"/>
        <v>5.9589465638754087</v>
      </c>
      <c r="V319" s="104">
        <f t="shared" si="94"/>
        <v>6.0214170199594506</v>
      </c>
      <c r="W319" s="104">
        <f t="shared" si="94"/>
        <v>6.0672816568745702</v>
      </c>
      <c r="X319" s="104">
        <f t="shared" si="94"/>
        <v>6.0959743671491005</v>
      </c>
      <c r="Y319" s="104">
        <f t="shared" si="94"/>
        <v>6.1069290433113741</v>
      </c>
      <c r="Z319" s="104">
        <f t="shared" si="94"/>
        <v>6.0995795778897213</v>
      </c>
      <c r="AA319" s="104">
        <f t="shared" si="94"/>
        <v>6.0733598634124775</v>
      </c>
      <c r="AB319" s="104">
        <f t="shared" si="94"/>
        <v>6.0277037924079711</v>
      </c>
      <c r="AC319" s="104">
        <f t="shared" si="94"/>
        <v>5.9620452574045384</v>
      </c>
      <c r="AD319" s="104">
        <f t="shared" si="94"/>
        <v>5.8758181509305079</v>
      </c>
      <c r="AE319" s="104">
        <f t="shared" si="94"/>
        <v>5.7684563655142123</v>
      </c>
      <c r="AF319" s="18">
        <f>SUM(B319:AE319)</f>
        <v>134.15643268273882</v>
      </c>
      <c r="AH319" s="122" t="s">
        <v>304</v>
      </c>
    </row>
    <row r="320" spans="1:34" x14ac:dyDescent="0.25">
      <c r="A320" s="27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"/>
      <c r="AH320" s="122"/>
    </row>
    <row r="321" spans="1:34" x14ac:dyDescent="0.25">
      <c r="A321" s="27" t="s">
        <v>307</v>
      </c>
      <c r="B321" s="118">
        <f>D303</f>
        <v>5.4990959417233642E-2</v>
      </c>
      <c r="C321" s="118">
        <f t="shared" ref="C321:AE321" si="95">B321+$B$403</f>
        <v>5.6490959417233644E-2</v>
      </c>
      <c r="D321" s="118">
        <f t="shared" si="95"/>
        <v>5.7990959417233645E-2</v>
      </c>
      <c r="E321" s="118">
        <f t="shared" si="95"/>
        <v>5.9490959417233646E-2</v>
      </c>
      <c r="F321" s="118">
        <f t="shared" si="95"/>
        <v>6.0990959417233648E-2</v>
      </c>
      <c r="G321" s="118">
        <f t="shared" si="95"/>
        <v>6.2490959417233649E-2</v>
      </c>
      <c r="H321" s="118">
        <f t="shared" si="95"/>
        <v>6.399095941723365E-2</v>
      </c>
      <c r="I321" s="118">
        <f t="shared" si="95"/>
        <v>6.5490959417233652E-2</v>
      </c>
      <c r="J321" s="118">
        <f t="shared" si="95"/>
        <v>6.6990959417233653E-2</v>
      </c>
      <c r="K321" s="118">
        <f t="shared" si="95"/>
        <v>6.8490959417233654E-2</v>
      </c>
      <c r="L321" s="118">
        <f t="shared" si="95"/>
        <v>6.9990959417233656E-2</v>
      </c>
      <c r="M321" s="118">
        <f t="shared" si="95"/>
        <v>7.1490959417233657E-2</v>
      </c>
      <c r="N321" s="118">
        <f t="shared" si="95"/>
        <v>7.2990959417233658E-2</v>
      </c>
      <c r="O321" s="118">
        <f t="shared" si="95"/>
        <v>7.449095941723366E-2</v>
      </c>
      <c r="P321" s="118">
        <f t="shared" si="95"/>
        <v>7.5990959417233661E-2</v>
      </c>
      <c r="Q321" s="118">
        <f t="shared" si="95"/>
        <v>7.7490959417233662E-2</v>
      </c>
      <c r="R321" s="118">
        <f t="shared" si="95"/>
        <v>7.8990959417233664E-2</v>
      </c>
      <c r="S321" s="118">
        <f t="shared" si="95"/>
        <v>8.0490959417233665E-2</v>
      </c>
      <c r="T321" s="118">
        <f t="shared" si="95"/>
        <v>8.1990959417233666E-2</v>
      </c>
      <c r="U321" s="118">
        <f t="shared" si="95"/>
        <v>8.3490959417233668E-2</v>
      </c>
      <c r="V321" s="118">
        <f t="shared" si="95"/>
        <v>8.4990959417233669E-2</v>
      </c>
      <c r="W321" s="118">
        <f t="shared" si="95"/>
        <v>8.649095941723367E-2</v>
      </c>
      <c r="X321" s="118">
        <f t="shared" si="95"/>
        <v>8.7990959417233672E-2</v>
      </c>
      <c r="Y321" s="118">
        <f t="shared" si="95"/>
        <v>8.9490959417233673E-2</v>
      </c>
      <c r="Z321" s="118">
        <f t="shared" si="95"/>
        <v>9.0990959417233674E-2</v>
      </c>
      <c r="AA321" s="118">
        <f t="shared" si="95"/>
        <v>9.2490959417233676E-2</v>
      </c>
      <c r="AB321" s="118">
        <f t="shared" si="95"/>
        <v>9.3990959417233677E-2</v>
      </c>
      <c r="AC321" s="118">
        <f t="shared" si="95"/>
        <v>9.5490959417233678E-2</v>
      </c>
      <c r="AD321" s="118">
        <f t="shared" si="95"/>
        <v>9.699095941723368E-2</v>
      </c>
      <c r="AE321" s="118">
        <f t="shared" si="95"/>
        <v>9.8490959417233681E-2</v>
      </c>
      <c r="AF321" s="1"/>
      <c r="AH321" s="122" t="s">
        <v>307</v>
      </c>
    </row>
    <row r="322" spans="1:34" x14ac:dyDescent="0.25">
      <c r="A322" s="27" t="s">
        <v>305</v>
      </c>
      <c r="B322" s="104">
        <f>D303*B310/2</f>
        <v>0.21846170526509451</v>
      </c>
      <c r="C322" s="104">
        <f>(B310+C309/2)*C321</f>
        <v>0.67326219384795039</v>
      </c>
      <c r="D322" s="104">
        <f t="shared" ref="D322:AE322" si="96">(C310+D309/2)*D321</f>
        <v>1.1518987865010291</v>
      </c>
      <c r="E322" s="104">
        <f t="shared" si="96"/>
        <v>1.6543714832243299</v>
      </c>
      <c r="F322" s="104">
        <f t="shared" si="96"/>
        <v>2.1806802840178539</v>
      </c>
      <c r="G322" s="104">
        <f t="shared" si="96"/>
        <v>2.7308251888816004</v>
      </c>
      <c r="H322" s="104">
        <f t="shared" si="96"/>
        <v>3.3048061978155694</v>
      </c>
      <c r="I322" s="104">
        <f t="shared" si="96"/>
        <v>3.9026233108197608</v>
      </c>
      <c r="J322" s="104">
        <f t="shared" si="96"/>
        <v>4.524276527894175</v>
      </c>
      <c r="K322" s="104">
        <f t="shared" si="96"/>
        <v>5.1697658490388116</v>
      </c>
      <c r="L322" s="104">
        <f t="shared" si="96"/>
        <v>5.5610393088130197</v>
      </c>
      <c r="M322" s="104">
        <f t="shared" si="96"/>
        <v>5.680219829164133</v>
      </c>
      <c r="N322" s="104">
        <f t="shared" si="96"/>
        <v>5.7994003495152455</v>
      </c>
      <c r="O322" s="104">
        <f t="shared" si="96"/>
        <v>5.9185808698663589</v>
      </c>
      <c r="P322" s="104">
        <f t="shared" si="96"/>
        <v>6.0377613902174714</v>
      </c>
      <c r="Q322" s="104">
        <f t="shared" si="96"/>
        <v>6.1569419105685848</v>
      </c>
      <c r="R322" s="104">
        <f t="shared" si="96"/>
        <v>6.2761224309196972</v>
      </c>
      <c r="S322" s="104">
        <f t="shared" si="96"/>
        <v>6.3953029512708106</v>
      </c>
      <c r="T322" s="104">
        <f t="shared" si="96"/>
        <v>6.5144834716219231</v>
      </c>
      <c r="U322" s="104">
        <f t="shared" si="96"/>
        <v>6.6336639919730365</v>
      </c>
      <c r="V322" s="104">
        <f t="shared" si="96"/>
        <v>6.752844512324149</v>
      </c>
      <c r="W322" s="104">
        <f t="shared" si="96"/>
        <v>6.8720250326752623</v>
      </c>
      <c r="X322" s="104">
        <f t="shared" si="96"/>
        <v>6.9912055530263748</v>
      </c>
      <c r="Y322" s="104">
        <f t="shared" si="96"/>
        <v>7.1103860733774882</v>
      </c>
      <c r="Z322" s="104">
        <f t="shared" si="96"/>
        <v>7.2295665937286016</v>
      </c>
      <c r="AA322" s="104">
        <f t="shared" si="96"/>
        <v>7.348747114079714</v>
      </c>
      <c r="AB322" s="104">
        <f t="shared" si="96"/>
        <v>7.4679276344308274</v>
      </c>
      <c r="AC322" s="104">
        <f t="shared" si="96"/>
        <v>7.5871081547819399</v>
      </c>
      <c r="AD322" s="104">
        <f t="shared" si="96"/>
        <v>7.7062886751330533</v>
      </c>
      <c r="AE322" s="104">
        <f t="shared" si="96"/>
        <v>7.8254691954841658</v>
      </c>
      <c r="AF322" s="18">
        <f>SUM(B322:AE322)</f>
        <v>159.37605657027802</v>
      </c>
      <c r="AH322" s="122" t="s">
        <v>305</v>
      </c>
    </row>
    <row r="323" spans="1:34" x14ac:dyDescent="0.25">
      <c r="A323" s="27" t="s">
        <v>312</v>
      </c>
      <c r="B323" s="104">
        <f t="shared" ref="B323:AE323" si="97">B322*$B$405</f>
        <v>2.1846170526509452E-2</v>
      </c>
      <c r="C323" s="104">
        <f t="shared" si="97"/>
        <v>6.7326219384795036E-2</v>
      </c>
      <c r="D323" s="104">
        <f t="shared" si="97"/>
        <v>0.11518987865010291</v>
      </c>
      <c r="E323" s="104">
        <f t="shared" si="97"/>
        <v>0.165437148322433</v>
      </c>
      <c r="F323" s="104">
        <f t="shared" si="97"/>
        <v>0.21806802840178541</v>
      </c>
      <c r="G323" s="104">
        <f t="shared" si="97"/>
        <v>0.27308251888816004</v>
      </c>
      <c r="H323" s="104">
        <f t="shared" si="97"/>
        <v>0.33048061978155696</v>
      </c>
      <c r="I323" s="104">
        <f t="shared" si="97"/>
        <v>0.39026233108197611</v>
      </c>
      <c r="J323" s="104">
        <f t="shared" si="97"/>
        <v>0.45242765278941754</v>
      </c>
      <c r="K323" s="104">
        <f t="shared" si="97"/>
        <v>0.51697658490388121</v>
      </c>
      <c r="L323" s="104">
        <f t="shared" si="97"/>
        <v>0.55610393088130194</v>
      </c>
      <c r="M323" s="104">
        <f t="shared" si="97"/>
        <v>0.56802198291641337</v>
      </c>
      <c r="N323" s="104">
        <f t="shared" si="97"/>
        <v>0.57994003495152457</v>
      </c>
      <c r="O323" s="104">
        <f t="shared" si="97"/>
        <v>0.59185808698663589</v>
      </c>
      <c r="P323" s="104">
        <f t="shared" si="97"/>
        <v>0.6037761390217472</v>
      </c>
      <c r="Q323" s="104">
        <f t="shared" si="97"/>
        <v>0.61569419105685852</v>
      </c>
      <c r="R323" s="104">
        <f t="shared" si="97"/>
        <v>0.62761224309196972</v>
      </c>
      <c r="S323" s="104">
        <f t="shared" si="97"/>
        <v>0.63953029512708115</v>
      </c>
      <c r="T323" s="104">
        <f t="shared" si="97"/>
        <v>0.65144834716219235</v>
      </c>
      <c r="U323" s="104">
        <f t="shared" si="97"/>
        <v>0.66336639919730367</v>
      </c>
      <c r="V323" s="104">
        <f t="shared" si="97"/>
        <v>0.67528445123241498</v>
      </c>
      <c r="W323" s="104">
        <f t="shared" si="97"/>
        <v>0.6872025032675263</v>
      </c>
      <c r="X323" s="104">
        <f t="shared" si="97"/>
        <v>0.6991205553026375</v>
      </c>
      <c r="Y323" s="104">
        <f t="shared" si="97"/>
        <v>0.71103860733774882</v>
      </c>
      <c r="Z323" s="104">
        <f t="shared" si="97"/>
        <v>0.72295665937286024</v>
      </c>
      <c r="AA323" s="104">
        <f t="shared" si="97"/>
        <v>0.73487471140797145</v>
      </c>
      <c r="AB323" s="104">
        <f t="shared" si="97"/>
        <v>0.74679276344308276</v>
      </c>
      <c r="AC323" s="104">
        <f t="shared" si="97"/>
        <v>0.75871081547819408</v>
      </c>
      <c r="AD323" s="104">
        <f t="shared" si="97"/>
        <v>0.77062886751330539</v>
      </c>
      <c r="AE323" s="104">
        <f t="shared" si="97"/>
        <v>0.7825469195484166</v>
      </c>
      <c r="AF323" s="18">
        <f>SUM(B323:AE323)</f>
        <v>15.937605657027806</v>
      </c>
      <c r="AH323" s="122" t="s">
        <v>312</v>
      </c>
    </row>
    <row r="324" spans="1:34" x14ac:dyDescent="0.25">
      <c r="A324" s="27" t="s">
        <v>314</v>
      </c>
      <c r="B324" s="104">
        <f>B322-B323</f>
        <v>0.19661553473858506</v>
      </c>
      <c r="C324" s="104">
        <f>C322-C323</f>
        <v>0.60593597446315539</v>
      </c>
      <c r="D324" s="104">
        <f t="shared" ref="D324:AE324" si="98">D322-D323</f>
        <v>1.0367089078509262</v>
      </c>
      <c r="E324" s="104">
        <f t="shared" si="98"/>
        <v>1.4889343349018969</v>
      </c>
      <c r="F324" s="104">
        <f t="shared" si="98"/>
        <v>1.9626122556160683</v>
      </c>
      <c r="G324" s="104">
        <f t="shared" si="98"/>
        <v>2.4577426699934404</v>
      </c>
      <c r="H324" s="104">
        <f t="shared" si="98"/>
        <v>2.9743255780340125</v>
      </c>
      <c r="I324" s="104">
        <f t="shared" si="98"/>
        <v>3.5123609797377848</v>
      </c>
      <c r="J324" s="104">
        <f t="shared" si="98"/>
        <v>4.0718488751047577</v>
      </c>
      <c r="K324" s="104">
        <f t="shared" si="98"/>
        <v>4.6527892641349302</v>
      </c>
      <c r="L324" s="104">
        <f t="shared" si="98"/>
        <v>5.0049353779317176</v>
      </c>
      <c r="M324" s="104">
        <f t="shared" si="98"/>
        <v>5.11219784624772</v>
      </c>
      <c r="N324" s="104">
        <f t="shared" si="98"/>
        <v>5.2194603145637206</v>
      </c>
      <c r="O324" s="104">
        <f t="shared" si="98"/>
        <v>5.326722782879723</v>
      </c>
      <c r="P324" s="104">
        <f t="shared" si="98"/>
        <v>5.4339852511957245</v>
      </c>
      <c r="Q324" s="104">
        <f t="shared" si="98"/>
        <v>5.541247719511726</v>
      </c>
      <c r="R324" s="104">
        <f t="shared" si="98"/>
        <v>5.6485101878277275</v>
      </c>
      <c r="S324" s="104">
        <f t="shared" si="98"/>
        <v>5.7557726561437299</v>
      </c>
      <c r="T324" s="104">
        <f t="shared" si="98"/>
        <v>5.8630351244597305</v>
      </c>
      <c r="U324" s="104">
        <f t="shared" si="98"/>
        <v>5.9702975927757329</v>
      </c>
      <c r="V324" s="104">
        <f t="shared" si="98"/>
        <v>6.0775600610917344</v>
      </c>
      <c r="W324" s="104">
        <f t="shared" si="98"/>
        <v>6.1848225294077359</v>
      </c>
      <c r="X324" s="104">
        <f t="shared" si="98"/>
        <v>6.2920849977237374</v>
      </c>
      <c r="Y324" s="104">
        <f t="shared" si="98"/>
        <v>6.3993474660397389</v>
      </c>
      <c r="Z324" s="104">
        <f t="shared" si="98"/>
        <v>6.5066099343557413</v>
      </c>
      <c r="AA324" s="104">
        <f t="shared" si="98"/>
        <v>6.6138724026717428</v>
      </c>
      <c r="AB324" s="104">
        <f t="shared" si="98"/>
        <v>6.7211348709877443</v>
      </c>
      <c r="AC324" s="104">
        <f t="shared" si="98"/>
        <v>6.8283973393037458</v>
      </c>
      <c r="AD324" s="104">
        <f t="shared" si="98"/>
        <v>6.9356598076197482</v>
      </c>
      <c r="AE324" s="104">
        <f t="shared" si="98"/>
        <v>7.0429222759357488</v>
      </c>
      <c r="AF324" s="18">
        <f>SUM(B324:AE324)</f>
        <v>143.43845091325019</v>
      </c>
      <c r="AH324" s="122" t="s">
        <v>314</v>
      </c>
    </row>
    <row r="325" spans="1:34" x14ac:dyDescent="0.25">
      <c r="A325" s="27" t="s">
        <v>317</v>
      </c>
      <c r="B325" s="124">
        <f>B324/(B309/2)</f>
        <v>4.9491863475510281E-2</v>
      </c>
      <c r="C325" s="124">
        <f>C324/(B310+C309/2)</f>
        <v>5.0841863475510285E-2</v>
      </c>
      <c r="D325" s="124">
        <f t="shared" ref="D325:AE325" si="99">D324/(C310+D309/2)</f>
        <v>5.2191863475510282E-2</v>
      </c>
      <c r="E325" s="124">
        <f t="shared" si="99"/>
        <v>5.3541863475510279E-2</v>
      </c>
      <c r="F325" s="124">
        <f t="shared" si="99"/>
        <v>5.4891863475510283E-2</v>
      </c>
      <c r="G325" s="124">
        <f t="shared" si="99"/>
        <v>5.6241863475510287E-2</v>
      </c>
      <c r="H325" s="124">
        <f t="shared" si="99"/>
        <v>5.7591863475510291E-2</v>
      </c>
      <c r="I325" s="124">
        <f t="shared" si="99"/>
        <v>5.8941863475510288E-2</v>
      </c>
      <c r="J325" s="124">
        <f t="shared" si="99"/>
        <v>6.0291863475510299E-2</v>
      </c>
      <c r="K325" s="124">
        <f t="shared" si="99"/>
        <v>6.1641863475510289E-2</v>
      </c>
      <c r="L325" s="124">
        <f t="shared" si="99"/>
        <v>6.2991863475510293E-2</v>
      </c>
      <c r="M325" s="124">
        <f t="shared" si="99"/>
        <v>6.4341863475510297E-2</v>
      </c>
      <c r="N325" s="124">
        <f t="shared" si="99"/>
        <v>6.5691863475510287E-2</v>
      </c>
      <c r="O325" s="124">
        <f t="shared" si="99"/>
        <v>6.7041863475510291E-2</v>
      </c>
      <c r="P325" s="124">
        <f t="shared" si="99"/>
        <v>6.8391863475510295E-2</v>
      </c>
      <c r="Q325" s="124">
        <f t="shared" si="99"/>
        <v>6.9741863475510299E-2</v>
      </c>
      <c r="R325" s="124">
        <f t="shared" si="99"/>
        <v>7.1091863475510289E-2</v>
      </c>
      <c r="S325" s="124">
        <f t="shared" si="99"/>
        <v>7.2441863475510307E-2</v>
      </c>
      <c r="T325" s="124">
        <f t="shared" si="99"/>
        <v>7.3791863475510297E-2</v>
      </c>
      <c r="U325" s="124">
        <f t="shared" si="99"/>
        <v>7.5141863475510301E-2</v>
      </c>
      <c r="V325" s="124">
        <f t="shared" si="99"/>
        <v>7.6491863475510305E-2</v>
      </c>
      <c r="W325" s="124">
        <f t="shared" si="99"/>
        <v>7.7841863475510295E-2</v>
      </c>
      <c r="X325" s="124">
        <f t="shared" si="99"/>
        <v>7.9191863475510299E-2</v>
      </c>
      <c r="Y325" s="124">
        <f t="shared" si="99"/>
        <v>8.0541863475510303E-2</v>
      </c>
      <c r="Z325" s="124">
        <f t="shared" si="99"/>
        <v>8.1891863475510307E-2</v>
      </c>
      <c r="AA325" s="124">
        <f t="shared" si="99"/>
        <v>8.3241863475510311E-2</v>
      </c>
      <c r="AB325" s="124">
        <f t="shared" si="99"/>
        <v>8.4591863475510315E-2</v>
      </c>
      <c r="AC325" s="124">
        <f t="shared" si="99"/>
        <v>8.5941863475510305E-2</v>
      </c>
      <c r="AD325" s="124">
        <f t="shared" si="99"/>
        <v>8.7291863475510323E-2</v>
      </c>
      <c r="AE325" s="124">
        <f t="shared" si="99"/>
        <v>8.8641863475510313E-2</v>
      </c>
      <c r="AF325" s="18"/>
      <c r="AH325" s="122" t="s">
        <v>317</v>
      </c>
    </row>
    <row r="326" spans="1:34" x14ac:dyDescent="0.25">
      <c r="A326" s="27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"/>
      <c r="AH326" s="122"/>
    </row>
    <row r="327" spans="1:34" x14ac:dyDescent="0.25">
      <c r="A327" s="27" t="s">
        <v>323</v>
      </c>
      <c r="B327" s="104">
        <f>B324-B319</f>
        <v>7.7435014387472217E-2</v>
      </c>
      <c r="C327" s="104">
        <f t="shared" ref="C327:AE327" si="100">C324-C319</f>
        <v>0.21065391529863114</v>
      </c>
      <c r="D327" s="104">
        <f t="shared" si="100"/>
        <v>0.30889134714473265</v>
      </c>
      <c r="E327" s="104">
        <f t="shared" si="100"/>
        <v>0.3774409113713717</v>
      </c>
      <c r="F327" s="104">
        <f t="shared" si="100"/>
        <v>0.41777448740488499</v>
      </c>
      <c r="G327" s="104">
        <f t="shared" si="100"/>
        <v>0.43151491666405351</v>
      </c>
      <c r="H327" s="104">
        <f t="shared" si="100"/>
        <v>0.42043600256010327</v>
      </c>
      <c r="I327" s="104">
        <f t="shared" si="100"/>
        <v>0.38646251049670344</v>
      </c>
      <c r="J327" s="104">
        <f t="shared" si="100"/>
        <v>0.33167016786997028</v>
      </c>
      <c r="K327" s="104">
        <f t="shared" si="100"/>
        <v>0.25828566406846321</v>
      </c>
      <c r="L327" s="104">
        <f t="shared" si="100"/>
        <v>0.26207704858897696</v>
      </c>
      <c r="M327" s="104">
        <f t="shared" si="100"/>
        <v>0.18289152452569279</v>
      </c>
      <c r="N327" s="104">
        <f t="shared" si="100"/>
        <v>0.11521685238631818</v>
      </c>
      <c r="O327" s="104">
        <f t="shared" si="100"/>
        <v>5.9619139642524743E-2</v>
      </c>
      <c r="P327" s="104">
        <f t="shared" si="100"/>
        <v>1.6664493765977006E-2</v>
      </c>
      <c r="Q327" s="104">
        <f t="shared" si="100"/>
        <v>-1.308097777165429E-2</v>
      </c>
      <c r="R327" s="104">
        <f t="shared" si="100"/>
        <v>-2.9051167498703734E-2</v>
      </c>
      <c r="S327" s="104">
        <f t="shared" si="100"/>
        <v>-3.0679967943501474E-2</v>
      </c>
      <c r="T327" s="104">
        <f t="shared" si="100"/>
        <v>-1.7401271634382098E-2</v>
      </c>
      <c r="U327" s="104">
        <f t="shared" si="100"/>
        <v>1.1351028900324245E-2</v>
      </c>
      <c r="V327" s="104">
        <f t="shared" si="100"/>
        <v>5.6143041132283855E-2</v>
      </c>
      <c r="W327" s="104">
        <f t="shared" si="100"/>
        <v>0.1175408725331657</v>
      </c>
      <c r="X327" s="104">
        <f t="shared" si="100"/>
        <v>0.19611063057463696</v>
      </c>
      <c r="Y327" s="104">
        <f t="shared" si="100"/>
        <v>0.29241842272836482</v>
      </c>
      <c r="Z327" s="104">
        <f t="shared" si="100"/>
        <v>0.40703035646602004</v>
      </c>
      <c r="AA327" s="104">
        <f t="shared" si="100"/>
        <v>0.54051253925926535</v>
      </c>
      <c r="AB327" s="104">
        <f t="shared" si="100"/>
        <v>0.69343107857977326</v>
      </c>
      <c r="AC327" s="104">
        <f t="shared" si="100"/>
        <v>0.86635208189920743</v>
      </c>
      <c r="AD327" s="104">
        <f t="shared" si="100"/>
        <v>1.0598416566892404</v>
      </c>
      <c r="AE327" s="104">
        <f t="shared" si="100"/>
        <v>1.2744659104215366</v>
      </c>
      <c r="AF327" s="18">
        <f>SUM(B327:AE327)</f>
        <v>9.2820182305114525</v>
      </c>
      <c r="AH327" s="122" t="s">
        <v>323</v>
      </c>
    </row>
    <row r="328" spans="1:34" x14ac:dyDescent="0.25">
      <c r="A328" s="27" t="s">
        <v>308</v>
      </c>
      <c r="B328" s="104">
        <f>B327</f>
        <v>7.7435014387472217E-2</v>
      </c>
      <c r="C328" s="104">
        <f>B328+C327</f>
        <v>0.28808892968610333</v>
      </c>
      <c r="D328" s="104">
        <f t="shared" ref="D328:AE328" si="101">C328+D327</f>
        <v>0.59698027683083599</v>
      </c>
      <c r="E328" s="104">
        <f t="shared" si="101"/>
        <v>0.97442118820220769</v>
      </c>
      <c r="F328" s="104">
        <f t="shared" si="101"/>
        <v>1.3921956756070926</v>
      </c>
      <c r="G328" s="104">
        <f t="shared" si="101"/>
        <v>1.8237105922711461</v>
      </c>
      <c r="H328" s="104">
        <f t="shared" si="101"/>
        <v>2.2441465948312493</v>
      </c>
      <c r="I328" s="104">
        <f t="shared" si="101"/>
        <v>2.6306091053279528</v>
      </c>
      <c r="J328" s="104">
        <f t="shared" si="101"/>
        <v>2.9622792731979231</v>
      </c>
      <c r="K328" s="104">
        <f t="shared" si="101"/>
        <v>3.2205649372663863</v>
      </c>
      <c r="L328" s="104">
        <f t="shared" si="101"/>
        <v>3.4826419858553632</v>
      </c>
      <c r="M328" s="104">
        <f t="shared" si="101"/>
        <v>3.665533510381056</v>
      </c>
      <c r="N328" s="104">
        <f t="shared" si="101"/>
        <v>3.7807503627673742</v>
      </c>
      <c r="O328" s="104">
        <f t="shared" si="101"/>
        <v>3.8403695024098989</v>
      </c>
      <c r="P328" s="104">
        <f t="shared" si="101"/>
        <v>3.8570339961758759</v>
      </c>
      <c r="Q328" s="104">
        <f t="shared" si="101"/>
        <v>3.8439530184042217</v>
      </c>
      <c r="R328" s="104">
        <f t="shared" si="101"/>
        <v>3.8149018509055179</v>
      </c>
      <c r="S328" s="104">
        <f t="shared" si="101"/>
        <v>3.7842218829620164</v>
      </c>
      <c r="T328" s="104">
        <f t="shared" si="101"/>
        <v>3.7668206113276343</v>
      </c>
      <c r="U328" s="104">
        <f t="shared" si="101"/>
        <v>3.7781716402279586</v>
      </c>
      <c r="V328" s="104">
        <f t="shared" si="101"/>
        <v>3.8343146813602424</v>
      </c>
      <c r="W328" s="104">
        <f t="shared" si="101"/>
        <v>3.9518555538934081</v>
      </c>
      <c r="X328" s="104">
        <f t="shared" si="101"/>
        <v>4.1479661844680447</v>
      </c>
      <c r="Y328" s="104">
        <f t="shared" si="101"/>
        <v>4.4403846071964095</v>
      </c>
      <c r="Z328" s="104">
        <f t="shared" si="101"/>
        <v>4.8474149636624295</v>
      </c>
      <c r="AA328" s="104">
        <f t="shared" si="101"/>
        <v>5.3879275029216949</v>
      </c>
      <c r="AB328" s="104">
        <f t="shared" si="101"/>
        <v>6.0813585815014681</v>
      </c>
      <c r="AC328" s="104">
        <f t="shared" si="101"/>
        <v>6.9477106634006756</v>
      </c>
      <c r="AD328" s="104">
        <f t="shared" si="101"/>
        <v>8.0075523200899159</v>
      </c>
      <c r="AE328" s="104">
        <f t="shared" si="101"/>
        <v>9.2820182305114525</v>
      </c>
      <c r="AF328" s="1"/>
      <c r="AH328" s="122" t="s">
        <v>308</v>
      </c>
    </row>
    <row r="329" spans="1:34" x14ac:dyDescent="0.25">
      <c r="A329" s="27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"/>
      <c r="AH329" s="122"/>
    </row>
    <row r="330" spans="1:34" x14ac:dyDescent="0.25">
      <c r="A330" s="27" t="s">
        <v>324</v>
      </c>
      <c r="B330" s="113">
        <f>B324-B309</f>
        <v>-7.7487524886689378</v>
      </c>
      <c r="C330" s="113">
        <f t="shared" ref="C330:AE330" si="102">C324-C309</f>
        <v>-7.3394320489443681</v>
      </c>
      <c r="D330" s="113">
        <f t="shared" si="102"/>
        <v>-6.9086591155565973</v>
      </c>
      <c r="E330" s="113">
        <f t="shared" si="102"/>
        <v>-6.4564336885056264</v>
      </c>
      <c r="F330" s="113">
        <f t="shared" si="102"/>
        <v>-5.9827557677914545</v>
      </c>
      <c r="G330" s="113">
        <f t="shared" si="102"/>
        <v>-5.4876253534140833</v>
      </c>
      <c r="H330" s="113">
        <f t="shared" si="102"/>
        <v>-4.9710424453735111</v>
      </c>
      <c r="I330" s="113">
        <f t="shared" si="102"/>
        <v>-4.433007043669738</v>
      </c>
      <c r="J330" s="113">
        <f t="shared" si="102"/>
        <v>-3.8735191483027656</v>
      </c>
      <c r="K330" s="113">
        <f t="shared" si="102"/>
        <v>-3.292578759272593</v>
      </c>
      <c r="L330" s="113">
        <f t="shared" si="102"/>
        <v>5.0049353779317176</v>
      </c>
      <c r="M330" s="113">
        <f t="shared" si="102"/>
        <v>5.11219784624772</v>
      </c>
      <c r="N330" s="113">
        <f t="shared" si="102"/>
        <v>5.2194603145637206</v>
      </c>
      <c r="O330" s="113">
        <f t="shared" si="102"/>
        <v>5.326722782879723</v>
      </c>
      <c r="P330" s="113">
        <f t="shared" si="102"/>
        <v>5.4339852511957245</v>
      </c>
      <c r="Q330" s="113">
        <f t="shared" si="102"/>
        <v>5.541247719511726</v>
      </c>
      <c r="R330" s="113">
        <f t="shared" si="102"/>
        <v>5.6485101878277275</v>
      </c>
      <c r="S330" s="113">
        <f t="shared" si="102"/>
        <v>5.7557726561437299</v>
      </c>
      <c r="T330" s="113">
        <f t="shared" si="102"/>
        <v>5.8630351244597305</v>
      </c>
      <c r="U330" s="113">
        <f t="shared" si="102"/>
        <v>5.9702975927757329</v>
      </c>
      <c r="V330" s="113">
        <f t="shared" si="102"/>
        <v>6.0775600610917344</v>
      </c>
      <c r="W330" s="113">
        <f t="shared" si="102"/>
        <v>6.1848225294077359</v>
      </c>
      <c r="X330" s="113">
        <f t="shared" si="102"/>
        <v>6.2920849977237374</v>
      </c>
      <c r="Y330" s="113">
        <f t="shared" si="102"/>
        <v>6.3993474660397389</v>
      </c>
      <c r="Z330" s="113">
        <f t="shared" si="102"/>
        <v>6.5066099343557413</v>
      </c>
      <c r="AA330" s="113">
        <f t="shared" si="102"/>
        <v>6.6138724026717428</v>
      </c>
      <c r="AB330" s="113">
        <f t="shared" si="102"/>
        <v>6.7211348709877443</v>
      </c>
      <c r="AC330" s="113">
        <f t="shared" si="102"/>
        <v>6.8283973393037458</v>
      </c>
      <c r="AD330" s="113">
        <f t="shared" si="102"/>
        <v>6.9356598076197482</v>
      </c>
      <c r="AE330" s="113">
        <f t="shared" si="102"/>
        <v>7.0429222759357488</v>
      </c>
      <c r="AF330" s="18">
        <f>SUM(B330:AE330)</f>
        <v>63.984770679174993</v>
      </c>
      <c r="AH330" s="122" t="s">
        <v>324</v>
      </c>
    </row>
    <row r="331" spans="1:34" x14ac:dyDescent="0.25">
      <c r="A331" s="27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"/>
    </row>
    <row r="332" spans="1:34" x14ac:dyDescent="0.25">
      <c r="A332" s="27" t="s">
        <v>325</v>
      </c>
      <c r="B332" s="125">
        <f>IRR(B330:AE330, 0.1)</f>
        <v>4.9421127827968814E-2</v>
      </c>
      <c r="C332" s="122" t="s">
        <v>156</v>
      </c>
      <c r="D332" s="43"/>
      <c r="AF332" s="1"/>
    </row>
    <row r="333" spans="1:34" x14ac:dyDescent="0.25">
      <c r="A333" s="27"/>
      <c r="B333" s="27"/>
      <c r="C333" s="27"/>
      <c r="D333" s="43"/>
    </row>
    <row r="334" spans="1:34" x14ac:dyDescent="0.25">
      <c r="A334" s="1" t="s">
        <v>2</v>
      </c>
    </row>
    <row r="335" spans="1:34" x14ac:dyDescent="0.25">
      <c r="A335" t="s">
        <v>44</v>
      </c>
    </row>
    <row r="337" spans="1:5" x14ac:dyDescent="0.25">
      <c r="A337" t="s">
        <v>45</v>
      </c>
    </row>
    <row r="339" spans="1:5" x14ac:dyDescent="0.25">
      <c r="A339" t="s">
        <v>46</v>
      </c>
    </row>
    <row r="340" spans="1:5" x14ac:dyDescent="0.25">
      <c r="A340" t="s">
        <v>30</v>
      </c>
    </row>
    <row r="341" spans="1:5" x14ac:dyDescent="0.25">
      <c r="A341" t="s">
        <v>48</v>
      </c>
    </row>
    <row r="342" spans="1:5" x14ac:dyDescent="0.25">
      <c r="A342" t="s">
        <v>47</v>
      </c>
    </row>
    <row r="344" spans="1:5" x14ac:dyDescent="0.25">
      <c r="A344" t="s">
        <v>221</v>
      </c>
    </row>
    <row r="345" spans="1:5" x14ac:dyDescent="0.25">
      <c r="A345" t="s">
        <v>50</v>
      </c>
      <c r="B345" s="9">
        <f>(5+6/2)*2.5*((8*1.84)/(5+6+5))*B347</f>
        <v>3.7864077669902918</v>
      </c>
      <c r="C345" t="s">
        <v>51</v>
      </c>
    </row>
    <row r="346" spans="1:5" x14ac:dyDescent="0.25">
      <c r="B346" s="9"/>
    </row>
    <row r="347" spans="1:5" x14ac:dyDescent="0.25">
      <c r="A347" t="s">
        <v>133</v>
      </c>
      <c r="B347" s="8">
        <f>0.39/(1.84*1.03)</f>
        <v>0.20578303081468974</v>
      </c>
      <c r="C347" t="s">
        <v>49</v>
      </c>
    </row>
    <row r="348" spans="1:5" x14ac:dyDescent="0.25">
      <c r="B348" s="8"/>
      <c r="E348" s="8"/>
    </row>
    <row r="349" spans="1:5" x14ac:dyDescent="0.25">
      <c r="A349" t="s">
        <v>134</v>
      </c>
      <c r="E349" s="8"/>
    </row>
    <row r="350" spans="1:5" x14ac:dyDescent="0.25">
      <c r="A350" t="s">
        <v>54</v>
      </c>
    </row>
    <row r="351" spans="1:5" x14ac:dyDescent="0.25">
      <c r="A351" t="s">
        <v>53</v>
      </c>
    </row>
    <row r="353" spans="1:5" ht="15.75" x14ac:dyDescent="0.25">
      <c r="A353" t="s">
        <v>135</v>
      </c>
      <c r="B353" s="20"/>
      <c r="E353" s="20"/>
    </row>
    <row r="354" spans="1:5" x14ac:dyDescent="0.25">
      <c r="A354" t="s">
        <v>60</v>
      </c>
      <c r="B354">
        <v>33</v>
      </c>
      <c r="C354" t="s">
        <v>59</v>
      </c>
    </row>
    <row r="356" spans="1:5" x14ac:dyDescent="0.25">
      <c r="A356" t="s">
        <v>136</v>
      </c>
      <c r="B356">
        <v>19</v>
      </c>
      <c r="C356" t="s">
        <v>59</v>
      </c>
    </row>
    <row r="358" spans="1:5" x14ac:dyDescent="0.25">
      <c r="A358" t="s">
        <v>137</v>
      </c>
      <c r="B358" s="12">
        <v>3</v>
      </c>
    </row>
    <row r="359" spans="1:5" x14ac:dyDescent="0.25">
      <c r="B359" s="12"/>
    </row>
    <row r="360" spans="1:5" x14ac:dyDescent="0.25">
      <c r="A360" t="s">
        <v>138</v>
      </c>
      <c r="B360">
        <v>0.3</v>
      </c>
    </row>
    <row r="362" spans="1:5" x14ac:dyDescent="0.25">
      <c r="A362" t="s">
        <v>158</v>
      </c>
    </row>
    <row r="363" spans="1:5" x14ac:dyDescent="0.25">
      <c r="A363" t="s">
        <v>139</v>
      </c>
      <c r="B363" s="14">
        <v>7.0000000000000007E-2</v>
      </c>
    </row>
    <row r="365" spans="1:5" x14ac:dyDescent="0.25">
      <c r="A365" t="s">
        <v>157</v>
      </c>
    </row>
    <row r="366" spans="1:5" x14ac:dyDescent="0.25">
      <c r="A366" t="s">
        <v>154</v>
      </c>
    </row>
    <row r="367" spans="1:5" x14ac:dyDescent="0.25">
      <c r="A367" t="s">
        <v>155</v>
      </c>
      <c r="B367" s="14">
        <v>7.0000000000000007E-2</v>
      </c>
      <c r="C367" t="s">
        <v>156</v>
      </c>
    </row>
    <row r="368" spans="1:5" x14ac:dyDescent="0.25">
      <c r="A368" t="s">
        <v>159</v>
      </c>
    </row>
    <row r="369" spans="1:3" x14ac:dyDescent="0.25">
      <c r="A369" t="s">
        <v>160</v>
      </c>
    </row>
    <row r="371" spans="1:3" x14ac:dyDescent="0.25">
      <c r="A371" t="s">
        <v>223</v>
      </c>
    </row>
    <row r="372" spans="1:3" x14ac:dyDescent="0.25">
      <c r="A372" t="s">
        <v>210</v>
      </c>
    </row>
    <row r="374" spans="1:3" x14ac:dyDescent="0.25">
      <c r="A374" t="s">
        <v>224</v>
      </c>
    </row>
    <row r="375" spans="1:3" x14ac:dyDescent="0.25">
      <c r="A375" t="s">
        <v>211</v>
      </c>
    </row>
    <row r="377" spans="1:3" x14ac:dyDescent="0.25">
      <c r="A377" t="s">
        <v>225</v>
      </c>
      <c r="B377" s="14">
        <v>7.0000000000000007E-2</v>
      </c>
      <c r="C377" t="s">
        <v>156</v>
      </c>
    </row>
    <row r="379" spans="1:3" x14ac:dyDescent="0.25">
      <c r="A379" t="s">
        <v>235</v>
      </c>
    </row>
    <row r="380" spans="1:3" x14ac:dyDescent="0.25">
      <c r="A380" s="87" t="s">
        <v>234</v>
      </c>
    </row>
    <row r="382" spans="1:3" x14ac:dyDescent="0.25">
      <c r="A382" s="92" t="s">
        <v>247</v>
      </c>
    </row>
    <row r="383" spans="1:3" x14ac:dyDescent="0.25">
      <c r="A383" s="87" t="s">
        <v>234</v>
      </c>
    </row>
    <row r="385" spans="1:3" x14ac:dyDescent="0.25">
      <c r="A385" s="87" t="s">
        <v>268</v>
      </c>
    </row>
    <row r="386" spans="1:3" x14ac:dyDescent="0.25">
      <c r="A386" s="87" t="s">
        <v>282</v>
      </c>
    </row>
    <row r="387" spans="1:3" x14ac:dyDescent="0.25">
      <c r="A387" s="87" t="s">
        <v>283</v>
      </c>
    </row>
    <row r="389" spans="1:3" x14ac:dyDescent="0.25">
      <c r="A389" s="87" t="s">
        <v>273</v>
      </c>
    </row>
    <row r="391" spans="1:3" x14ac:dyDescent="0.25">
      <c r="A391" s="87" t="s">
        <v>274</v>
      </c>
      <c r="B391" s="108">
        <f>4.55*1.5</f>
        <v>6.8249999999999993</v>
      </c>
      <c r="C391" s="1" t="s">
        <v>272</v>
      </c>
    </row>
    <row r="393" spans="1:3" x14ac:dyDescent="0.25">
      <c r="A393" s="87" t="s">
        <v>284</v>
      </c>
    </row>
    <row r="394" spans="1:3" x14ac:dyDescent="0.25">
      <c r="A394" s="87" t="s">
        <v>369</v>
      </c>
    </row>
    <row r="395" spans="1:3" x14ac:dyDescent="0.25">
      <c r="A395" s="87" t="s">
        <v>283</v>
      </c>
    </row>
    <row r="397" spans="1:3" x14ac:dyDescent="0.25">
      <c r="A397" s="87" t="s">
        <v>292</v>
      </c>
    </row>
    <row r="399" spans="1:3" x14ac:dyDescent="0.25">
      <c r="A399" s="87" t="s">
        <v>296</v>
      </c>
      <c r="B399">
        <v>10</v>
      </c>
      <c r="C399" t="s">
        <v>295</v>
      </c>
    </row>
    <row r="401" spans="1:3" x14ac:dyDescent="0.25">
      <c r="A401" t="s">
        <v>318</v>
      </c>
      <c r="B401" s="14">
        <v>0.03</v>
      </c>
      <c r="C401" t="s">
        <v>156</v>
      </c>
    </row>
    <row r="403" spans="1:3" x14ac:dyDescent="0.25">
      <c r="A403" t="s">
        <v>306</v>
      </c>
      <c r="B403" s="120">
        <v>1.5E-3</v>
      </c>
      <c r="C403" t="s">
        <v>156</v>
      </c>
    </row>
    <row r="405" spans="1:3" x14ac:dyDescent="0.25">
      <c r="A405" t="s">
        <v>313</v>
      </c>
      <c r="B405" s="123">
        <v>0.1</v>
      </c>
      <c r="C405" t="s">
        <v>315</v>
      </c>
    </row>
    <row r="406" spans="1:3" x14ac:dyDescent="0.25">
      <c r="A406" t="s">
        <v>316</v>
      </c>
    </row>
    <row r="408" spans="1:3" x14ac:dyDescent="0.25">
      <c r="A408" t="s">
        <v>319</v>
      </c>
      <c r="B408" s="120">
        <v>1E-3</v>
      </c>
      <c r="C408" t="s">
        <v>156</v>
      </c>
    </row>
    <row r="410" spans="1:3" x14ac:dyDescent="0.25">
      <c r="A410" t="s">
        <v>355</v>
      </c>
    </row>
    <row r="411" spans="1:3" x14ac:dyDescent="0.25">
      <c r="A411" s="3" t="s">
        <v>326</v>
      </c>
      <c r="B411" s="106">
        <v>8</v>
      </c>
      <c r="C411" t="s">
        <v>327</v>
      </c>
    </row>
    <row r="412" spans="1:3" x14ac:dyDescent="0.25">
      <c r="A412" s="3" t="s">
        <v>328</v>
      </c>
      <c r="B412" s="106">
        <v>10</v>
      </c>
      <c r="C412" t="s">
        <v>327</v>
      </c>
    </row>
    <row r="413" spans="1:3" x14ac:dyDescent="0.25">
      <c r="A413" s="3" t="s">
        <v>330</v>
      </c>
      <c r="B413" s="106">
        <v>100</v>
      </c>
      <c r="C413" t="s">
        <v>327</v>
      </c>
    </row>
    <row r="414" spans="1:3" x14ac:dyDescent="0.25">
      <c r="A414" s="3" t="s">
        <v>329</v>
      </c>
      <c r="B414" s="106">
        <v>150</v>
      </c>
      <c r="C414" t="s">
        <v>327</v>
      </c>
    </row>
    <row r="415" spans="1:3" x14ac:dyDescent="0.25">
      <c r="A415" s="3" t="s">
        <v>331</v>
      </c>
      <c r="B415" s="127">
        <v>0.25</v>
      </c>
    </row>
    <row r="416" spans="1:3" x14ac:dyDescent="0.25">
      <c r="A416" s="3" t="s">
        <v>332</v>
      </c>
      <c r="B416" s="12">
        <v>2.6</v>
      </c>
      <c r="C416" t="s">
        <v>59</v>
      </c>
    </row>
    <row r="418" spans="1:3" x14ac:dyDescent="0.25">
      <c r="A418" s="92" t="s">
        <v>354</v>
      </c>
      <c r="B418">
        <v>20</v>
      </c>
      <c r="C418" t="s">
        <v>295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2D2E-BBE0-4837-AD18-C26B02E86D45}">
  <dimension ref="A1:AO438"/>
  <sheetViews>
    <sheetView topLeftCell="B262" workbookViewId="0">
      <selection activeCell="B282" sqref="B282"/>
    </sheetView>
  </sheetViews>
  <sheetFormatPr defaultRowHeight="15" x14ac:dyDescent="0.25"/>
  <cols>
    <col min="1" max="1" width="125.5703125" customWidth="1"/>
    <col min="2" max="2" width="12.85546875" customWidth="1"/>
    <col min="3" max="3" width="12.140625" bestFit="1" customWidth="1"/>
    <col min="4" max="4" width="12.5703125" customWidth="1"/>
    <col min="5" max="5" width="15.5703125" customWidth="1"/>
    <col min="6" max="32" width="12.5703125" customWidth="1"/>
  </cols>
  <sheetData>
    <row r="1" spans="1:7" ht="21" x14ac:dyDescent="0.35">
      <c r="A1" s="40" t="s">
        <v>0</v>
      </c>
    </row>
    <row r="2" spans="1:7" x14ac:dyDescent="0.25">
      <c r="A2" s="3"/>
    </row>
    <row r="3" spans="1:7" x14ac:dyDescent="0.25">
      <c r="A3" s="27" t="s">
        <v>1</v>
      </c>
      <c r="B3" s="1" t="s">
        <v>75</v>
      </c>
    </row>
    <row r="4" spans="1:7" x14ac:dyDescent="0.25">
      <c r="A4" s="27" t="s">
        <v>27</v>
      </c>
      <c r="B4" s="1" t="s">
        <v>29</v>
      </c>
    </row>
    <row r="5" spans="1:7" x14ac:dyDescent="0.25">
      <c r="A5" s="27" t="s">
        <v>28</v>
      </c>
      <c r="B5" s="1" t="s">
        <v>26</v>
      </c>
    </row>
    <row r="6" spans="1:7" x14ac:dyDescent="0.25">
      <c r="A6" s="27" t="s">
        <v>25</v>
      </c>
      <c r="B6" s="1">
        <f>67.22</f>
        <v>67.22</v>
      </c>
    </row>
    <row r="7" spans="1:7" x14ac:dyDescent="0.25">
      <c r="A7" s="3"/>
    </row>
    <row r="8" spans="1:7" x14ac:dyDescent="0.25">
      <c r="A8" s="3"/>
      <c r="B8" s="1" t="s">
        <v>39</v>
      </c>
    </row>
    <row r="9" spans="1:7" x14ac:dyDescent="0.25">
      <c r="A9" s="3"/>
      <c r="G9" s="3" t="s">
        <v>36</v>
      </c>
    </row>
    <row r="10" spans="1:7" x14ac:dyDescent="0.25">
      <c r="A10" s="3" t="s">
        <v>31</v>
      </c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40</v>
      </c>
    </row>
    <row r="11" spans="1:7" x14ac:dyDescent="0.25">
      <c r="A11" s="3" t="s">
        <v>37</v>
      </c>
      <c r="B11" s="11">
        <v>1050</v>
      </c>
      <c r="C11" s="11">
        <v>525</v>
      </c>
      <c r="D11" s="11">
        <v>824</v>
      </c>
      <c r="E11" s="11">
        <v>806</v>
      </c>
      <c r="F11" s="11">
        <f>SUM(B11:E11)/4</f>
        <v>801.25</v>
      </c>
      <c r="G11" s="14">
        <f>F11/B11</f>
        <v>0.76309523809523805</v>
      </c>
    </row>
    <row r="12" spans="1:7" x14ac:dyDescent="0.25">
      <c r="A12" s="3" t="s">
        <v>38</v>
      </c>
      <c r="B12" s="11">
        <v>950</v>
      </c>
      <c r="C12" s="11">
        <v>782</v>
      </c>
      <c r="D12" s="11">
        <v>871</v>
      </c>
      <c r="E12" s="11">
        <v>865</v>
      </c>
      <c r="F12" s="11">
        <f>SUM(B12:E12)/4</f>
        <v>867</v>
      </c>
      <c r="G12" s="14">
        <f>F12/B12</f>
        <v>0.91263157894736846</v>
      </c>
    </row>
    <row r="13" spans="1:7" x14ac:dyDescent="0.25">
      <c r="A13" s="3" t="s">
        <v>56</v>
      </c>
      <c r="B13" s="11">
        <f>(890+898)/2</f>
        <v>894</v>
      </c>
      <c r="C13" s="11">
        <f>(847+856)/2</f>
        <v>851.5</v>
      </c>
      <c r="D13" s="11">
        <f>(873+874)/2</f>
        <v>873.5</v>
      </c>
      <c r="E13" s="11">
        <f>(872+872)/2</f>
        <v>872</v>
      </c>
      <c r="F13" s="11">
        <f>SUM(B13:E13)/4</f>
        <v>872.75</v>
      </c>
      <c r="G13" s="14">
        <f>F13/B13</f>
        <v>0.97623042505592839</v>
      </c>
    </row>
    <row r="14" spans="1:7" x14ac:dyDescent="0.25">
      <c r="A14" s="3"/>
    </row>
    <row r="15" spans="1:7" ht="18.75" x14ac:dyDescent="0.3">
      <c r="A15" s="33" t="s">
        <v>5</v>
      </c>
    </row>
    <row r="16" spans="1:7" x14ac:dyDescent="0.25">
      <c r="A16" s="3"/>
    </row>
    <row r="17" spans="1:8" x14ac:dyDescent="0.25">
      <c r="A17" s="3" t="s">
        <v>3</v>
      </c>
      <c r="B17" s="3" t="s">
        <v>7</v>
      </c>
      <c r="C17" s="3" t="s">
        <v>8</v>
      </c>
      <c r="D17" s="3" t="s">
        <v>42</v>
      </c>
      <c r="E17" s="3" t="s">
        <v>10</v>
      </c>
      <c r="F17" s="3" t="s">
        <v>11</v>
      </c>
      <c r="G17" s="3" t="s">
        <v>13</v>
      </c>
    </row>
    <row r="18" spans="1:8" x14ac:dyDescent="0.25">
      <c r="A18" s="3"/>
      <c r="B18" s="3"/>
      <c r="C18" s="3" t="s">
        <v>9</v>
      </c>
      <c r="D18" s="3"/>
      <c r="E18" s="3"/>
      <c r="F18" s="3"/>
      <c r="G18" s="3"/>
    </row>
    <row r="19" spans="1:8" x14ac:dyDescent="0.25">
      <c r="A19" s="3" t="s">
        <v>4</v>
      </c>
      <c r="B19" s="4">
        <v>82.5</v>
      </c>
      <c r="C19" s="4">
        <v>96</v>
      </c>
      <c r="D19" s="4">
        <v>147</v>
      </c>
      <c r="E19" s="4">
        <v>76.900000000000006</v>
      </c>
      <c r="F19" s="4">
        <v>60.9</v>
      </c>
      <c r="G19" s="4">
        <f>G21/G20</f>
        <v>92.417939733707087</v>
      </c>
    </row>
    <row r="20" spans="1:8" x14ac:dyDescent="0.25">
      <c r="A20" s="3" t="s">
        <v>12</v>
      </c>
      <c r="B20">
        <v>7.83</v>
      </c>
      <c r="C20">
        <v>7.13</v>
      </c>
      <c r="D20">
        <v>5.1100000000000003</v>
      </c>
      <c r="E20">
        <v>2.5099999999999998</v>
      </c>
      <c r="F20">
        <v>5.96</v>
      </c>
      <c r="G20">
        <f>SUM(B20:F20)</f>
        <v>28.54</v>
      </c>
    </row>
    <row r="21" spans="1:8" x14ac:dyDescent="0.25">
      <c r="A21" s="3" t="s">
        <v>15</v>
      </c>
      <c r="B21" s="5">
        <f>B19*B20</f>
        <v>645.97500000000002</v>
      </c>
      <c r="C21" s="5">
        <f t="shared" ref="C21:F21" si="0">C19*C20</f>
        <v>684.48</v>
      </c>
      <c r="D21" s="5">
        <f t="shared" si="0"/>
        <v>751.17000000000007</v>
      </c>
      <c r="E21" s="5">
        <f t="shared" si="0"/>
        <v>193.01900000000001</v>
      </c>
      <c r="F21" s="5">
        <f t="shared" si="0"/>
        <v>362.964</v>
      </c>
      <c r="G21" s="5">
        <f>SUM(B21:F21)</f>
        <v>2637.6080000000002</v>
      </c>
    </row>
    <row r="22" spans="1:8" x14ac:dyDescent="0.25">
      <c r="A22" s="3" t="s">
        <v>6</v>
      </c>
      <c r="B22">
        <v>2</v>
      </c>
      <c r="C22">
        <v>2</v>
      </c>
      <c r="D22">
        <v>2</v>
      </c>
      <c r="E22">
        <v>1</v>
      </c>
      <c r="F22">
        <v>3</v>
      </c>
      <c r="G22" s="9">
        <f>G21/G23</f>
        <v>1.9468335080798587</v>
      </c>
    </row>
    <row r="23" spans="1:8" x14ac:dyDescent="0.25">
      <c r="A23" s="3" t="s">
        <v>41</v>
      </c>
      <c r="B23" s="10">
        <f>B21/B22</f>
        <v>322.98750000000001</v>
      </c>
      <c r="C23" s="11">
        <f t="shared" ref="C23:F23" si="1">C21/C22</f>
        <v>342.24</v>
      </c>
      <c r="D23" s="11">
        <f t="shared" si="1"/>
        <v>375.58500000000004</v>
      </c>
      <c r="E23" s="11">
        <f t="shared" si="1"/>
        <v>193.01900000000001</v>
      </c>
      <c r="F23" s="11">
        <f t="shared" si="1"/>
        <v>120.988</v>
      </c>
      <c r="G23" s="10">
        <f>SUM(B23:F23)</f>
        <v>1354.8195000000001</v>
      </c>
    </row>
    <row r="24" spans="1:8" x14ac:dyDescent="0.25">
      <c r="A24" s="27" t="s">
        <v>66</v>
      </c>
      <c r="B24" s="15">
        <f>B23*$B$367</f>
        <v>66.465346665259602</v>
      </c>
      <c r="C24" s="15">
        <f>C23*$B$367</f>
        <v>70.427184466019412</v>
      </c>
      <c r="D24" s="15">
        <f>D23*$B$367</f>
        <v>77.289019628535257</v>
      </c>
      <c r="E24" s="15">
        <f>E23*$B$367</f>
        <v>39.720034824820601</v>
      </c>
      <c r="F24" s="15">
        <f>F23*$B$367</f>
        <v>24.897277332207683</v>
      </c>
      <c r="G24" s="17">
        <f>SUM(B24:F24)</f>
        <v>278.79886291684255</v>
      </c>
      <c r="H24" s="1" t="s">
        <v>62</v>
      </c>
    </row>
    <row r="25" spans="1:8" x14ac:dyDescent="0.25">
      <c r="A25" s="27" t="s">
        <v>187</v>
      </c>
      <c r="B25" s="15">
        <f>B24*$F$11/1000</f>
        <v>53.255359015539263</v>
      </c>
      <c r="C25" s="15">
        <f t="shared" ref="C25:F25" si="2">C24*$F$11/1000</f>
        <v>56.429781553398051</v>
      </c>
      <c r="D25" s="15">
        <f t="shared" si="2"/>
        <v>61.927826977363878</v>
      </c>
      <c r="E25" s="15">
        <f t="shared" si="2"/>
        <v>31.825677903387508</v>
      </c>
      <c r="F25" s="15">
        <f t="shared" si="2"/>
        <v>19.948943462431405</v>
      </c>
      <c r="G25" s="17">
        <f>SUM(B25:F25)</f>
        <v>223.38758891212012</v>
      </c>
      <c r="H25" s="1" t="s">
        <v>63</v>
      </c>
    </row>
    <row r="26" spans="1:8" x14ac:dyDescent="0.25">
      <c r="A26" s="27" t="s">
        <v>76</v>
      </c>
      <c r="B26" s="15">
        <f>B24/B20</f>
        <v>8.4885500211059508</v>
      </c>
      <c r="C26" s="15">
        <f t="shared" ref="C26:G26" si="3">C24/C20</f>
        <v>9.8775854791051074</v>
      </c>
      <c r="D26" s="15">
        <f t="shared" si="3"/>
        <v>15.125052764879698</v>
      </c>
      <c r="E26" s="15">
        <f t="shared" si="3"/>
        <v>15.824715069649644</v>
      </c>
      <c r="F26" s="15">
        <f t="shared" si="3"/>
        <v>4.177395525538202</v>
      </c>
      <c r="G26" s="17">
        <f t="shared" si="3"/>
        <v>9.7687057784457796</v>
      </c>
      <c r="H26" s="1" t="s">
        <v>77</v>
      </c>
    </row>
    <row r="27" spans="1:8" x14ac:dyDescent="0.25">
      <c r="A27" s="27" t="s">
        <v>145</v>
      </c>
      <c r="B27" s="37">
        <v>900</v>
      </c>
      <c r="C27" s="17" t="s">
        <v>149</v>
      </c>
      <c r="D27" s="15"/>
      <c r="E27" s="15"/>
      <c r="F27" s="15"/>
      <c r="G27" s="17"/>
      <c r="H27" s="1"/>
    </row>
    <row r="28" spans="1:8" x14ac:dyDescent="0.25">
      <c r="A28" s="27" t="s">
        <v>175</v>
      </c>
      <c r="B28" s="38">
        <f>B20*B26*$B27/1000</f>
        <v>59.818811998733636</v>
      </c>
      <c r="C28" s="38">
        <f t="shared" ref="C28:F28" si="4">C20*C26*$B27/1000</f>
        <v>63.384466019417474</v>
      </c>
      <c r="D28" s="38">
        <f t="shared" si="4"/>
        <v>69.56011766568173</v>
      </c>
      <c r="E28" s="38">
        <f t="shared" si="4"/>
        <v>35.748031342338535</v>
      </c>
      <c r="F28" s="38">
        <f t="shared" si="4"/>
        <v>22.407549598986915</v>
      </c>
      <c r="G28" s="38">
        <f>SUM(B28:F28)</f>
        <v>250.91897662515828</v>
      </c>
      <c r="H28" s="1" t="s">
        <v>146</v>
      </c>
    </row>
    <row r="29" spans="1:8" x14ac:dyDescent="0.25">
      <c r="A29" s="27"/>
      <c r="B29" s="38"/>
      <c r="C29" s="38"/>
      <c r="D29" s="38"/>
      <c r="E29" s="38"/>
      <c r="F29" s="38"/>
      <c r="G29" s="38"/>
      <c r="H29" s="1"/>
    </row>
    <row r="30" spans="1:8" x14ac:dyDescent="0.25">
      <c r="A30" s="27" t="s">
        <v>162</v>
      </c>
      <c r="B30" s="39">
        <f t="shared" ref="B30:G30" si="5">100*$B$387*B28/B25</f>
        <v>7.8627145085803427</v>
      </c>
      <c r="C30" s="39">
        <f t="shared" si="5"/>
        <v>7.8627145085803454</v>
      </c>
      <c r="D30" s="39">
        <f t="shared" si="5"/>
        <v>7.8627145085803436</v>
      </c>
      <c r="E30" s="39">
        <f t="shared" si="5"/>
        <v>7.8627145085803427</v>
      </c>
      <c r="F30" s="39">
        <f t="shared" si="5"/>
        <v>7.8627145085803445</v>
      </c>
      <c r="G30" s="39">
        <f t="shared" si="5"/>
        <v>7.8627145085803418</v>
      </c>
      <c r="H30" s="1" t="s">
        <v>161</v>
      </c>
    </row>
    <row r="31" spans="1:8" x14ac:dyDescent="0.25">
      <c r="A31" s="27"/>
      <c r="B31" s="39"/>
      <c r="C31" s="39"/>
      <c r="D31" s="39"/>
      <c r="E31" s="39"/>
      <c r="F31" s="39"/>
      <c r="G31" s="39"/>
      <c r="H31" s="1"/>
    </row>
    <row r="32" spans="1:8" x14ac:dyDescent="0.25">
      <c r="A32" s="3" t="s">
        <v>3</v>
      </c>
      <c r="B32" s="3" t="s">
        <v>7</v>
      </c>
      <c r="C32" s="3" t="s">
        <v>8</v>
      </c>
      <c r="D32" s="3" t="s">
        <v>42</v>
      </c>
      <c r="E32" s="3" t="s">
        <v>10</v>
      </c>
      <c r="F32" s="3" t="s">
        <v>11</v>
      </c>
      <c r="G32" s="3" t="s">
        <v>13</v>
      </c>
      <c r="H32" s="1"/>
    </row>
    <row r="33" spans="1:9" x14ac:dyDescent="0.25">
      <c r="A33" s="3"/>
      <c r="B33" s="3"/>
      <c r="C33" s="3" t="s">
        <v>9</v>
      </c>
      <c r="D33" s="3"/>
      <c r="E33" s="3"/>
      <c r="F33" s="3"/>
      <c r="G33" s="3"/>
    </row>
    <row r="34" spans="1:9" x14ac:dyDescent="0.25">
      <c r="A34" s="3" t="s">
        <v>14</v>
      </c>
      <c r="B34" s="3" t="s">
        <v>287</v>
      </c>
      <c r="C34" s="3" t="s">
        <v>287</v>
      </c>
      <c r="D34" s="3" t="s">
        <v>287</v>
      </c>
      <c r="E34" s="3" t="s">
        <v>287</v>
      </c>
      <c r="F34" s="3" t="s">
        <v>287</v>
      </c>
      <c r="G34" s="3" t="s">
        <v>287</v>
      </c>
      <c r="I34" s="92"/>
    </row>
    <row r="35" spans="1:9" x14ac:dyDescent="0.25">
      <c r="A35" s="3" t="s">
        <v>97</v>
      </c>
      <c r="B35">
        <v>100</v>
      </c>
      <c r="C35">
        <v>100</v>
      </c>
      <c r="D35">
        <v>100</v>
      </c>
      <c r="E35">
        <v>100</v>
      </c>
      <c r="F35">
        <v>100</v>
      </c>
      <c r="G35" s="22">
        <f>G36*B378*1000/G21</f>
        <v>100.00000000000001</v>
      </c>
      <c r="H35" s="1" t="s">
        <v>79</v>
      </c>
      <c r="I35" s="92"/>
    </row>
    <row r="36" spans="1:9" x14ac:dyDescent="0.25">
      <c r="A36" s="3" t="s">
        <v>245</v>
      </c>
      <c r="B36" s="16">
        <f>B21*B35/($B$378*1000)</f>
        <v>21.532499999999999</v>
      </c>
      <c r="C36" s="16">
        <f>C21*C35/($B$378*1000)</f>
        <v>22.815999999999999</v>
      </c>
      <c r="D36" s="16">
        <f>D21*D35/($B$378*1000)</f>
        <v>25.039000000000001</v>
      </c>
      <c r="E36" s="16">
        <f>E21*E35/($B$378*1000)</f>
        <v>6.4339666666666675</v>
      </c>
      <c r="F36" s="16">
        <f>F21*F35/($B$378*1000)</f>
        <v>12.098800000000001</v>
      </c>
      <c r="G36" s="17">
        <f>SUM(B36:F36)</f>
        <v>87.920266666666663</v>
      </c>
      <c r="H36" s="1" t="s">
        <v>63</v>
      </c>
      <c r="I36" s="92"/>
    </row>
    <row r="37" spans="1:9" x14ac:dyDescent="0.25">
      <c r="A37" s="3" t="s">
        <v>246</v>
      </c>
      <c r="B37" s="16">
        <f>B36*($B$378-1)</f>
        <v>43.064999999999998</v>
      </c>
      <c r="C37" s="16">
        <f>C36*($B$378-1)</f>
        <v>45.631999999999998</v>
      </c>
      <c r="D37" s="16">
        <f>D36*($B$378-1)</f>
        <v>50.078000000000003</v>
      </c>
      <c r="E37" s="16">
        <f>E36*($B$378-1)</f>
        <v>12.867933333333335</v>
      </c>
      <c r="F37" s="16">
        <f>F36*($B$378-1)</f>
        <v>24.197600000000001</v>
      </c>
      <c r="G37" s="39">
        <f t="shared" ref="G37:G40" si="6">SUM(B37:F37)</f>
        <v>175.84053333333333</v>
      </c>
      <c r="H37" s="1" t="s">
        <v>63</v>
      </c>
      <c r="I37" s="92"/>
    </row>
    <row r="38" spans="1:9" x14ac:dyDescent="0.25">
      <c r="A38" s="3" t="s">
        <v>248</v>
      </c>
      <c r="B38" s="7">
        <f>B37*$B$289/100</f>
        <v>1.7513644896090466</v>
      </c>
      <c r="C38" s="7">
        <f>C37*$B$289/100</f>
        <v>1.8557590709355629</v>
      </c>
      <c r="D38" s="7">
        <f>D37*$B$289/100</f>
        <v>2.0365686964040832</v>
      </c>
      <c r="E38" s="7">
        <f>E37*$B$289/100</f>
        <v>0.52331223719160735</v>
      </c>
      <c r="F38" s="7">
        <f>F37*$B$289/100</f>
        <v>0.98406635025574984</v>
      </c>
      <c r="G38" s="83">
        <f t="shared" si="6"/>
        <v>7.1510708443960507</v>
      </c>
      <c r="H38" s="1" t="s">
        <v>213</v>
      </c>
      <c r="I38" s="92"/>
    </row>
    <row r="39" spans="1:9" x14ac:dyDescent="0.25">
      <c r="A39" s="3" t="s">
        <v>285</v>
      </c>
      <c r="B39" s="5">
        <v>5000</v>
      </c>
      <c r="C39" s="5">
        <v>6000</v>
      </c>
      <c r="D39" s="5">
        <v>8000</v>
      </c>
      <c r="E39" s="5">
        <v>5000</v>
      </c>
      <c r="F39" s="5">
        <v>5000</v>
      </c>
      <c r="G39" s="85">
        <f>1000*G40/G20</f>
        <v>5786.9656622284529</v>
      </c>
      <c r="H39" s="1"/>
      <c r="I39" s="92"/>
    </row>
    <row r="40" spans="1:9" x14ac:dyDescent="0.25">
      <c r="A40" s="3" t="s">
        <v>249</v>
      </c>
      <c r="B40" s="16">
        <f>B20*B39/1000</f>
        <v>39.15</v>
      </c>
      <c r="C40" s="16">
        <f t="shared" ref="C40:F40" si="7">C20*C39/1000</f>
        <v>42.78</v>
      </c>
      <c r="D40" s="16">
        <f t="shared" si="7"/>
        <v>40.880000000000003</v>
      </c>
      <c r="E40" s="16">
        <f t="shared" si="7"/>
        <v>12.549999999999999</v>
      </c>
      <c r="F40" s="16">
        <f t="shared" si="7"/>
        <v>29.8</v>
      </c>
      <c r="G40" s="84">
        <f t="shared" si="6"/>
        <v>165.16000000000003</v>
      </c>
      <c r="H40" s="1" t="s">
        <v>252</v>
      </c>
      <c r="I40" s="92"/>
    </row>
    <row r="41" spans="1:9" x14ac:dyDescent="0.25">
      <c r="A41" s="3" t="s">
        <v>250</v>
      </c>
      <c r="B41" s="6">
        <f>1000*B38/B20</f>
        <v>223.67362574828181</v>
      </c>
      <c r="C41" s="6">
        <f t="shared" ref="C41:G41" si="8">1000*C38/C20</f>
        <v>260.27476450709156</v>
      </c>
      <c r="D41" s="6">
        <f t="shared" si="8"/>
        <v>398.545733151484</v>
      </c>
      <c r="E41" s="6">
        <f t="shared" si="8"/>
        <v>208.49093115203482</v>
      </c>
      <c r="F41" s="6">
        <f t="shared" si="8"/>
        <v>165.11180373418622</v>
      </c>
      <c r="G41" s="79">
        <f t="shared" si="8"/>
        <v>250.56309896272077</v>
      </c>
      <c r="H41" s="1" t="s">
        <v>156</v>
      </c>
      <c r="I41" s="92"/>
    </row>
    <row r="42" spans="1:9" x14ac:dyDescent="0.25">
      <c r="A42" s="3" t="s">
        <v>251</v>
      </c>
      <c r="B42" s="14">
        <f>B41/B39</f>
        <v>4.473472514965636E-2</v>
      </c>
      <c r="C42" s="14">
        <f t="shared" ref="C42:G42" si="9">C41/C39</f>
        <v>4.3379127417848592E-2</v>
      </c>
      <c r="D42" s="14">
        <f t="shared" si="9"/>
        <v>4.9818216643935501E-2</v>
      </c>
      <c r="E42" s="14">
        <f t="shared" si="9"/>
        <v>4.1698186230406963E-2</v>
      </c>
      <c r="F42" s="14">
        <f t="shared" si="9"/>
        <v>3.3022360746837245E-2</v>
      </c>
      <c r="G42" s="43">
        <f t="shared" si="9"/>
        <v>4.3297837517534805E-2</v>
      </c>
      <c r="H42" s="1" t="s">
        <v>156</v>
      </c>
      <c r="I42" s="92"/>
    </row>
    <row r="43" spans="1:9" x14ac:dyDescent="0.25">
      <c r="A43" s="3"/>
      <c r="B43" s="16"/>
      <c r="C43" s="16"/>
      <c r="D43" s="16"/>
      <c r="E43" s="16"/>
      <c r="F43" s="16"/>
      <c r="G43" s="17"/>
      <c r="H43" s="1"/>
    </row>
    <row r="44" spans="1:9" x14ac:dyDescent="0.25">
      <c r="A44" s="3" t="s">
        <v>3</v>
      </c>
      <c r="B44" s="3" t="s">
        <v>7</v>
      </c>
      <c r="C44" s="3" t="s">
        <v>8</v>
      </c>
      <c r="D44" s="3" t="s">
        <v>42</v>
      </c>
      <c r="E44" s="3" t="s">
        <v>10</v>
      </c>
      <c r="F44" s="3" t="s">
        <v>11</v>
      </c>
      <c r="G44" s="3" t="s">
        <v>13</v>
      </c>
      <c r="H44" s="1"/>
    </row>
    <row r="45" spans="1:9" x14ac:dyDescent="0.25">
      <c r="A45" s="3"/>
      <c r="B45" s="3"/>
      <c r="C45" s="3" t="s">
        <v>9</v>
      </c>
      <c r="D45" s="3"/>
      <c r="E45" s="3"/>
      <c r="F45" s="3"/>
      <c r="G45" s="3"/>
      <c r="H45" s="1"/>
    </row>
    <row r="46" spans="1:9" x14ac:dyDescent="0.25">
      <c r="A46" s="3" t="s">
        <v>333</v>
      </c>
      <c r="B46" s="128">
        <f t="shared" ref="B46:G46" si="10">$B$435*B19</f>
        <v>20.625</v>
      </c>
      <c r="C46" s="128">
        <f t="shared" si="10"/>
        <v>24</v>
      </c>
      <c r="D46" s="128">
        <f t="shared" si="10"/>
        <v>36.75</v>
      </c>
      <c r="E46" s="128">
        <f t="shared" si="10"/>
        <v>19.225000000000001</v>
      </c>
      <c r="F46" s="128">
        <f t="shared" si="10"/>
        <v>15.225</v>
      </c>
      <c r="G46" s="128">
        <f t="shared" si="10"/>
        <v>23.104484933426772</v>
      </c>
      <c r="H46" s="1" t="s">
        <v>353</v>
      </c>
      <c r="I46" s="92"/>
    </row>
    <row r="47" spans="1:9" x14ac:dyDescent="0.25">
      <c r="A47" s="3" t="s">
        <v>343</v>
      </c>
      <c r="B47" s="129">
        <f>SQRT(B19/B22)*4*$B$436*B22-B46</f>
        <v>112.96541881811734</v>
      </c>
      <c r="C47" s="129">
        <f>SQRT(C19/C22)*4*$B$436*C22-C46</f>
        <v>120.10662718973057</v>
      </c>
      <c r="D47" s="129">
        <f>SQRT(D19/D22)*4*$B$436*D22-D46</f>
        <v>141.5728532746154</v>
      </c>
      <c r="E47" s="129">
        <f>SQRT(E19/E22)*4*$B$436*E22-E46</f>
        <v>71.975350876518007</v>
      </c>
      <c r="F47" s="129">
        <f>SQRT(F19)*4*$B$436-F46</f>
        <v>65.934990142926949</v>
      </c>
      <c r="G47" s="129">
        <f>SQRT(G19/G22)*4*$B$436*B22-G46</f>
        <v>120.20570447481821</v>
      </c>
      <c r="H47" s="1" t="s">
        <v>353</v>
      </c>
      <c r="I47" s="92"/>
    </row>
    <row r="48" spans="1:9" x14ac:dyDescent="0.25">
      <c r="A48" s="3" t="s">
        <v>335</v>
      </c>
      <c r="B48" s="7">
        <f>B20</f>
        <v>7.83</v>
      </c>
      <c r="C48" s="7">
        <f t="shared" ref="C48:E48" si="11">C20</f>
        <v>7.13</v>
      </c>
      <c r="D48" s="7">
        <f t="shared" si="11"/>
        <v>5.1100000000000003</v>
      </c>
      <c r="E48" s="7">
        <f t="shared" si="11"/>
        <v>2.5099999999999998</v>
      </c>
      <c r="F48" s="7">
        <f>F20/F22</f>
        <v>1.9866666666666666</v>
      </c>
      <c r="G48" s="17">
        <f>SUM(B48:F48)</f>
        <v>24.566666666666666</v>
      </c>
      <c r="H48" s="1" t="s">
        <v>92</v>
      </c>
      <c r="I48" s="92"/>
    </row>
    <row r="49" spans="1:9" x14ac:dyDescent="0.25">
      <c r="A49" s="3" t="s">
        <v>334</v>
      </c>
      <c r="B49" s="13">
        <v>0.34</v>
      </c>
      <c r="C49" s="13">
        <v>0.34</v>
      </c>
      <c r="D49" s="13">
        <v>0.34</v>
      </c>
      <c r="E49" s="13">
        <v>0.34</v>
      </c>
      <c r="F49" s="13">
        <v>0.34</v>
      </c>
      <c r="G49" s="114">
        <v>0.34</v>
      </c>
      <c r="H49" s="1"/>
      <c r="I49" s="92"/>
    </row>
    <row r="50" spans="1:9" x14ac:dyDescent="0.25">
      <c r="A50" s="3" t="s">
        <v>336</v>
      </c>
      <c r="B50" s="7">
        <f>B48*20.4/$G20</f>
        <v>5.5967764540995093</v>
      </c>
      <c r="C50" s="7">
        <f t="shared" ref="C50:F50" si="12">C48*20.4/$G20</f>
        <v>5.0964260686755436</v>
      </c>
      <c r="D50" s="7">
        <f t="shared" si="12"/>
        <v>3.6525578135949544</v>
      </c>
      <c r="E50" s="7">
        <f t="shared" si="12"/>
        <v>1.794113524877365</v>
      </c>
      <c r="F50" s="7">
        <f t="shared" si="12"/>
        <v>1.420042046250876</v>
      </c>
      <c r="G50" s="17">
        <f>SUM(B50:F50)</f>
        <v>17.559915907498251</v>
      </c>
      <c r="H50" s="1" t="s">
        <v>92</v>
      </c>
      <c r="I50" s="92"/>
    </row>
    <row r="51" spans="1:9" x14ac:dyDescent="0.25">
      <c r="A51" s="3" t="s">
        <v>337</v>
      </c>
      <c r="B51" s="13">
        <v>0.3</v>
      </c>
      <c r="C51" s="13">
        <v>0.3</v>
      </c>
      <c r="D51" s="13">
        <v>0.3</v>
      </c>
      <c r="E51" s="13">
        <v>0.3</v>
      </c>
      <c r="F51" s="13">
        <v>0.3</v>
      </c>
      <c r="G51" s="114">
        <v>0.3</v>
      </c>
      <c r="H51" s="1"/>
      <c r="I51" s="92"/>
    </row>
    <row r="52" spans="1:9" x14ac:dyDescent="0.25">
      <c r="A52" s="3" t="s">
        <v>338</v>
      </c>
      <c r="B52" s="7">
        <f>B20-B50</f>
        <v>2.2332235459004908</v>
      </c>
      <c r="C52" s="7">
        <f t="shared" ref="C52:F52" si="13">C20-C50</f>
        <v>2.0335739313244563</v>
      </c>
      <c r="D52" s="7">
        <f t="shared" si="13"/>
        <v>1.457442186405046</v>
      </c>
      <c r="E52" s="7">
        <f t="shared" si="13"/>
        <v>0.71588647512263481</v>
      </c>
      <c r="F52" s="7">
        <f t="shared" si="13"/>
        <v>4.5399579537491235</v>
      </c>
      <c r="G52" s="17">
        <f>SUM(B52:F52)</f>
        <v>10.980084092501752</v>
      </c>
      <c r="H52" s="1" t="s">
        <v>92</v>
      </c>
      <c r="I52" s="92"/>
    </row>
    <row r="53" spans="1:9" x14ac:dyDescent="0.25">
      <c r="A53" s="3" t="s">
        <v>339</v>
      </c>
      <c r="B53" s="13">
        <v>0.91</v>
      </c>
      <c r="C53" s="13">
        <v>0.91</v>
      </c>
      <c r="D53" s="13">
        <v>0.91</v>
      </c>
      <c r="E53" s="13">
        <v>0.91</v>
      </c>
      <c r="F53" s="13">
        <v>0.91</v>
      </c>
      <c r="G53" s="114">
        <v>0.91</v>
      </c>
      <c r="H53" s="1"/>
      <c r="I53" s="92"/>
    </row>
    <row r="54" spans="1:9" x14ac:dyDescent="0.25">
      <c r="A54" s="3" t="s">
        <v>340</v>
      </c>
      <c r="B54" s="13">
        <v>7.0000000000000007E-2</v>
      </c>
      <c r="C54" s="13">
        <v>7.0000000000000007E-2</v>
      </c>
      <c r="D54" s="13">
        <v>7.0000000000000007E-2</v>
      </c>
      <c r="E54" s="13">
        <v>7.0000000000000007E-2</v>
      </c>
      <c r="F54" s="13">
        <v>7.0000000000000007E-2</v>
      </c>
      <c r="G54" s="114">
        <v>7.0000000000000007E-2</v>
      </c>
      <c r="H54" s="1"/>
      <c r="I54" s="92"/>
    </row>
    <row r="55" spans="1:9" x14ac:dyDescent="0.25">
      <c r="A55" s="3" t="s">
        <v>341</v>
      </c>
      <c r="B55" s="130">
        <f>B48*B54</f>
        <v>0.54810000000000003</v>
      </c>
      <c r="C55" s="130">
        <f t="shared" ref="C55:F55" si="14">C48*C54</f>
        <v>0.49910000000000004</v>
      </c>
      <c r="D55" s="130">
        <f t="shared" si="14"/>
        <v>0.35770000000000007</v>
      </c>
      <c r="E55" s="130">
        <f t="shared" si="14"/>
        <v>0.1757</v>
      </c>
      <c r="F55" s="130">
        <f t="shared" si="14"/>
        <v>0.13906666666666667</v>
      </c>
      <c r="G55" s="17">
        <f>SUM(B55:F55)</f>
        <v>1.7196666666666669</v>
      </c>
      <c r="H55" s="1" t="s">
        <v>92</v>
      </c>
      <c r="I55" s="92"/>
    </row>
    <row r="56" spans="1:9" x14ac:dyDescent="0.25">
      <c r="A56" s="3"/>
      <c r="B56" s="130"/>
      <c r="C56" s="130"/>
      <c r="D56" s="130"/>
      <c r="E56" s="130"/>
      <c r="F56" s="130"/>
      <c r="G56" s="17"/>
      <c r="H56" s="1"/>
      <c r="I56" s="92"/>
    </row>
    <row r="57" spans="1:9" x14ac:dyDescent="0.25">
      <c r="A57" s="3" t="s">
        <v>347</v>
      </c>
      <c r="B57" s="131">
        <f>B48*B49*(B19/B22)/1000</f>
        <v>0.10981575</v>
      </c>
      <c r="C57" s="131">
        <f t="shared" ref="C57:F57" si="15">C48*C49*(C19/C22)/1000</f>
        <v>0.11636160000000001</v>
      </c>
      <c r="D57" s="131">
        <f t="shared" si="15"/>
        <v>0.12769890000000003</v>
      </c>
      <c r="E57" s="131">
        <f t="shared" si="15"/>
        <v>6.5626459999999998E-2</v>
      </c>
      <c r="F57" s="131">
        <f t="shared" si="15"/>
        <v>1.3711973333333334E-2</v>
      </c>
      <c r="G57" s="61">
        <f t="shared" ref="G57:G77" si="16">SUM(B57:F57)</f>
        <v>0.43321468333333335</v>
      </c>
      <c r="H57" s="1" t="s">
        <v>352</v>
      </c>
      <c r="I57" s="92"/>
    </row>
    <row r="58" spans="1:9" x14ac:dyDescent="0.25">
      <c r="A58" s="3" t="s">
        <v>348</v>
      </c>
      <c r="B58" s="131">
        <f>B50*B51*B$47/1000</f>
        <v>0.18967265885061863</v>
      </c>
      <c r="C58" s="131">
        <f t="shared" ref="C58:E58" si="17">C50*C51*C$47/1000</f>
        <v>0.18363436374913134</v>
      </c>
      <c r="D58" s="131">
        <f t="shared" si="17"/>
        <v>0.15513090942633856</v>
      </c>
      <c r="E58" s="131">
        <f t="shared" si="17"/>
        <v>3.8739585139606458E-2</v>
      </c>
      <c r="F58" s="131">
        <f>F50*F51*F$47/1000</f>
        <v>2.8089137496627999E-2</v>
      </c>
      <c r="G58" s="61">
        <f t="shared" si="16"/>
        <v>0.59526665466232298</v>
      </c>
      <c r="H58" s="1" t="s">
        <v>352</v>
      </c>
      <c r="I58" s="92"/>
    </row>
    <row r="59" spans="1:9" x14ac:dyDescent="0.25">
      <c r="A59" s="3" t="s">
        <v>349</v>
      </c>
      <c r="B59" s="131">
        <f>B52*B53*B$47/1000</f>
        <v>0.22957210019118832</v>
      </c>
      <c r="C59" s="131">
        <f t="shared" ref="C59:F59" si="18">C52*C53*C$47/1000</f>
        <v>0.22226359248943053</v>
      </c>
      <c r="D59" s="131">
        <f t="shared" si="18"/>
        <v>0.18776416641906218</v>
      </c>
      <c r="E59" s="131">
        <f t="shared" si="18"/>
        <v>4.6888824013581847E-2</v>
      </c>
      <c r="F59" s="131">
        <f t="shared" si="18"/>
        <v>0.27240129546607361</v>
      </c>
      <c r="G59" s="61">
        <f t="shared" si="16"/>
        <v>0.95888997857933644</v>
      </c>
      <c r="H59" s="1" t="s">
        <v>352</v>
      </c>
      <c r="I59" s="92"/>
    </row>
    <row r="60" spans="1:9" x14ac:dyDescent="0.25">
      <c r="A60" s="3" t="s">
        <v>350</v>
      </c>
      <c r="B60" s="131">
        <f>B46*B55/1000</f>
        <v>1.13045625E-2</v>
      </c>
      <c r="C60" s="131">
        <f t="shared" ref="C60:F60" si="19">C46*C55/1000</f>
        <v>1.19784E-2</v>
      </c>
      <c r="D60" s="131">
        <f t="shared" si="19"/>
        <v>1.3145475000000004E-2</v>
      </c>
      <c r="E60" s="131">
        <f t="shared" si="19"/>
        <v>3.3778325000000001E-3</v>
      </c>
      <c r="F60" s="131">
        <f t="shared" si="19"/>
        <v>2.11729E-3</v>
      </c>
      <c r="G60" s="61">
        <f t="shared" si="16"/>
        <v>4.1923560000000006E-2</v>
      </c>
      <c r="H60" s="1" t="s">
        <v>352</v>
      </c>
      <c r="I60" s="92"/>
    </row>
    <row r="61" spans="1:9" x14ac:dyDescent="0.25">
      <c r="A61" s="3"/>
      <c r="B61" s="131"/>
      <c r="C61" s="131"/>
      <c r="D61" s="131"/>
      <c r="E61" s="131"/>
      <c r="F61" s="131"/>
      <c r="G61" s="17"/>
      <c r="H61" s="1"/>
      <c r="I61" s="92"/>
    </row>
    <row r="62" spans="1:9" x14ac:dyDescent="0.25">
      <c r="A62" s="3" t="s">
        <v>342</v>
      </c>
      <c r="B62" s="130">
        <f t="shared" ref="B62:F65" si="20">B57*$B431</f>
        <v>0.87852600000000003</v>
      </c>
      <c r="C62" s="130">
        <f t="shared" si="20"/>
        <v>0.93089280000000008</v>
      </c>
      <c r="D62" s="130">
        <f t="shared" si="20"/>
        <v>1.0215912000000003</v>
      </c>
      <c r="E62" s="130">
        <f t="shared" si="20"/>
        <v>0.52501167999999998</v>
      </c>
      <c r="F62" s="130">
        <f t="shared" si="20"/>
        <v>0.10969578666666667</v>
      </c>
      <c r="G62" s="84">
        <f t="shared" si="16"/>
        <v>3.4657174666666668</v>
      </c>
      <c r="H62" s="1" t="s">
        <v>146</v>
      </c>
      <c r="I62" s="92"/>
    </row>
    <row r="63" spans="1:9" x14ac:dyDescent="0.25">
      <c r="A63" s="3" t="s">
        <v>344</v>
      </c>
      <c r="B63" s="130">
        <f t="shared" si="20"/>
        <v>1.8967265885061861</v>
      </c>
      <c r="C63" s="130">
        <f t="shared" si="20"/>
        <v>1.8363436374913134</v>
      </c>
      <c r="D63" s="130">
        <f t="shared" si="20"/>
        <v>1.5513090942633856</v>
      </c>
      <c r="E63" s="130">
        <f t="shared" si="20"/>
        <v>0.38739585139606458</v>
      </c>
      <c r="F63" s="130">
        <f t="shared" si="20"/>
        <v>0.28089137496627997</v>
      </c>
      <c r="G63" s="84">
        <f t="shared" si="16"/>
        <v>5.9526665466232291</v>
      </c>
      <c r="H63" s="1" t="s">
        <v>146</v>
      </c>
      <c r="I63" s="92"/>
    </row>
    <row r="64" spans="1:9" x14ac:dyDescent="0.25">
      <c r="A64" s="3" t="s">
        <v>345</v>
      </c>
      <c r="B64" s="130">
        <f t="shared" si="20"/>
        <v>22.957210019118833</v>
      </c>
      <c r="C64" s="130">
        <f t="shared" si="20"/>
        <v>22.226359248943055</v>
      </c>
      <c r="D64" s="130">
        <f t="shared" si="20"/>
        <v>18.77641664190622</v>
      </c>
      <c r="E64" s="130">
        <f t="shared" si="20"/>
        <v>4.6888824013581845</v>
      </c>
      <c r="F64" s="130">
        <f t="shared" si="20"/>
        <v>27.24012954660736</v>
      </c>
      <c r="G64" s="84">
        <f t="shared" si="16"/>
        <v>95.88899785793366</v>
      </c>
      <c r="H64" s="1" t="s">
        <v>146</v>
      </c>
      <c r="I64" s="92"/>
    </row>
    <row r="65" spans="1:9" x14ac:dyDescent="0.25">
      <c r="A65" s="3" t="s">
        <v>346</v>
      </c>
      <c r="B65" s="7">
        <f t="shared" si="20"/>
        <v>1.6956843750000001</v>
      </c>
      <c r="C65" s="7">
        <f t="shared" si="20"/>
        <v>1.7967599999999999</v>
      </c>
      <c r="D65" s="7">
        <f t="shared" si="20"/>
        <v>1.9718212500000005</v>
      </c>
      <c r="E65" s="7">
        <f t="shared" si="20"/>
        <v>0.50667487499999997</v>
      </c>
      <c r="F65" s="7">
        <f t="shared" si="20"/>
        <v>0.31759349999999997</v>
      </c>
      <c r="G65" s="84">
        <f t="shared" si="16"/>
        <v>6.2885340000000003</v>
      </c>
      <c r="H65" s="1" t="s">
        <v>146</v>
      </c>
      <c r="I65" s="92"/>
    </row>
    <row r="66" spans="1:9" x14ac:dyDescent="0.25">
      <c r="A66" s="3"/>
      <c r="B66" s="7"/>
      <c r="C66" s="7"/>
      <c r="D66" s="7"/>
      <c r="E66" s="7"/>
      <c r="F66" s="7"/>
      <c r="G66" s="84"/>
      <c r="H66" s="1"/>
      <c r="I66" s="92"/>
    </row>
    <row r="67" spans="1:9" x14ac:dyDescent="0.25">
      <c r="A67" s="3" t="s">
        <v>360</v>
      </c>
      <c r="B67" s="7">
        <f>B62/(B48*B49)</f>
        <v>0.32999999999999996</v>
      </c>
      <c r="C67" s="7">
        <f t="shared" ref="C67:F67" si="21">C62/(C48*C49)</f>
        <v>0.38399999999999995</v>
      </c>
      <c r="D67" s="7">
        <f t="shared" si="21"/>
        <v>0.58800000000000008</v>
      </c>
      <c r="E67" s="7">
        <f t="shared" si="21"/>
        <v>0.61519999999999997</v>
      </c>
      <c r="F67" s="7">
        <f t="shared" si="21"/>
        <v>0.16240000000000002</v>
      </c>
      <c r="G67" s="7">
        <f t="shared" ref="G67" si="22">G62/(G48*G49)</f>
        <v>0.41492347354138392</v>
      </c>
      <c r="H67" s="1" t="s">
        <v>364</v>
      </c>
      <c r="I67" s="92"/>
    </row>
    <row r="68" spans="1:9" x14ac:dyDescent="0.25">
      <c r="A68" s="3" t="s">
        <v>361</v>
      </c>
      <c r="B68" s="7">
        <f>B63/(B50*B51)</f>
        <v>1.1296541881811732</v>
      </c>
      <c r="C68" s="7">
        <f t="shared" ref="C68:F68" si="23">C63/(C50*C51)</f>
        <v>1.2010662718973057</v>
      </c>
      <c r="D68" s="7">
        <f t="shared" si="23"/>
        <v>1.4157285327461542</v>
      </c>
      <c r="E68" s="7">
        <f t="shared" si="23"/>
        <v>0.71975350876518007</v>
      </c>
      <c r="F68" s="7">
        <f t="shared" si="23"/>
        <v>0.65934990142926952</v>
      </c>
      <c r="G68" s="7">
        <f t="shared" ref="G68" si="24">G63/(G50*G51)</f>
        <v>1.1299724854379636</v>
      </c>
      <c r="H68" s="1" t="s">
        <v>364</v>
      </c>
      <c r="I68" s="92"/>
    </row>
    <row r="69" spans="1:9" x14ac:dyDescent="0.25">
      <c r="A69" s="3" t="s">
        <v>362</v>
      </c>
      <c r="B69" s="7">
        <f>B64/(B52*B53)</f>
        <v>11.296541881811734</v>
      </c>
      <c r="C69" s="7">
        <f t="shared" ref="C69:F69" si="25">C64/(C52*C53)</f>
        <v>12.010662718973059</v>
      </c>
      <c r="D69" s="7">
        <f t="shared" si="25"/>
        <v>14.15728532746154</v>
      </c>
      <c r="E69" s="7">
        <f t="shared" si="25"/>
        <v>7.1975350876518007</v>
      </c>
      <c r="F69" s="7">
        <f t="shared" si="25"/>
        <v>6.5934990142926937</v>
      </c>
      <c r="G69" s="7">
        <f t="shared" ref="G69" si="26">G64/(G52*G53)</f>
        <v>9.5966956382935908</v>
      </c>
      <c r="H69" s="1" t="s">
        <v>364</v>
      </c>
      <c r="I69" s="92"/>
    </row>
    <row r="70" spans="1:9" x14ac:dyDescent="0.25">
      <c r="A70" s="3" t="s">
        <v>363</v>
      </c>
      <c r="B70" s="7">
        <f>B65/B55</f>
        <v>3.09375</v>
      </c>
      <c r="C70" s="7">
        <f t="shared" ref="C70:F70" si="27">C65/C55</f>
        <v>3.5999999999999996</v>
      </c>
      <c r="D70" s="7">
        <f t="shared" si="27"/>
        <v>5.5125000000000002</v>
      </c>
      <c r="E70" s="7">
        <f t="shared" si="27"/>
        <v>2.88375</v>
      </c>
      <c r="F70" s="7">
        <f t="shared" si="27"/>
        <v>2.2837499999999995</v>
      </c>
      <c r="G70" s="7">
        <f t="shared" ref="G70" si="28">G65/G55</f>
        <v>3.6568331071913156</v>
      </c>
      <c r="H70" s="1" t="s">
        <v>364</v>
      </c>
      <c r="I70" s="92"/>
    </row>
    <row r="71" spans="1:9" x14ac:dyDescent="0.25">
      <c r="A71" s="3"/>
      <c r="B71" s="7"/>
      <c r="C71" s="7"/>
      <c r="D71" s="7"/>
      <c r="E71" s="7"/>
      <c r="F71" s="7"/>
      <c r="G71" s="7"/>
      <c r="H71" s="1"/>
      <c r="I71" s="92"/>
    </row>
    <row r="72" spans="1:9" x14ac:dyDescent="0.25">
      <c r="A72" s="3" t="s">
        <v>365</v>
      </c>
      <c r="B72" s="6">
        <f t="shared" ref="B72:G75" si="29">1000*B67/$B$438</f>
        <v>16.499999999999996</v>
      </c>
      <c r="C72" s="6">
        <f t="shared" si="29"/>
        <v>19.199999999999996</v>
      </c>
      <c r="D72" s="6">
        <f t="shared" si="29"/>
        <v>29.400000000000006</v>
      </c>
      <c r="E72" s="6">
        <f t="shared" si="29"/>
        <v>30.759999999999998</v>
      </c>
      <c r="F72" s="6">
        <f t="shared" si="29"/>
        <v>8.120000000000001</v>
      </c>
      <c r="G72" s="133">
        <f t="shared" si="29"/>
        <v>20.746173677069198</v>
      </c>
      <c r="H72" s="1" t="s">
        <v>156</v>
      </c>
      <c r="I72" s="92"/>
    </row>
    <row r="73" spans="1:9" x14ac:dyDescent="0.25">
      <c r="A73" s="3" t="s">
        <v>366</v>
      </c>
      <c r="B73" s="6">
        <f t="shared" si="29"/>
        <v>56.482709409058657</v>
      </c>
      <c r="C73" s="6">
        <f t="shared" si="29"/>
        <v>60.053313594865287</v>
      </c>
      <c r="D73" s="6">
        <f t="shared" si="29"/>
        <v>70.786426637307699</v>
      </c>
      <c r="E73" s="6">
        <f t="shared" si="29"/>
        <v>35.987675438259004</v>
      </c>
      <c r="F73" s="6">
        <f t="shared" si="29"/>
        <v>32.967495071463475</v>
      </c>
      <c r="G73" s="133">
        <f t="shared" si="29"/>
        <v>56.49862427189818</v>
      </c>
      <c r="H73" s="1" t="s">
        <v>156</v>
      </c>
      <c r="I73" s="92"/>
    </row>
    <row r="74" spans="1:9" x14ac:dyDescent="0.25">
      <c r="A74" s="3" t="s">
        <v>367</v>
      </c>
      <c r="B74" s="6">
        <f t="shared" si="29"/>
        <v>564.82709409058668</v>
      </c>
      <c r="C74" s="6">
        <f t="shared" si="29"/>
        <v>600.5331359486529</v>
      </c>
      <c r="D74" s="6">
        <f t="shared" si="29"/>
        <v>707.86426637307704</v>
      </c>
      <c r="E74" s="6">
        <f t="shared" si="29"/>
        <v>359.87675438259004</v>
      </c>
      <c r="F74" s="6">
        <f t="shared" si="29"/>
        <v>329.67495071463469</v>
      </c>
      <c r="G74" s="133">
        <f t="shared" si="29"/>
        <v>479.83478191467958</v>
      </c>
      <c r="H74" s="1" t="s">
        <v>156</v>
      </c>
      <c r="I74" s="92"/>
    </row>
    <row r="75" spans="1:9" x14ac:dyDescent="0.25">
      <c r="A75" s="3" t="s">
        <v>368</v>
      </c>
      <c r="B75" s="6">
        <f t="shared" si="29"/>
        <v>154.6875</v>
      </c>
      <c r="C75" s="6">
        <f t="shared" si="29"/>
        <v>179.99999999999997</v>
      </c>
      <c r="D75" s="6">
        <f t="shared" si="29"/>
        <v>275.625</v>
      </c>
      <c r="E75" s="6">
        <f t="shared" si="29"/>
        <v>144.1875</v>
      </c>
      <c r="F75" s="6">
        <f t="shared" si="29"/>
        <v>114.18749999999997</v>
      </c>
      <c r="G75" s="133">
        <f t="shared" si="29"/>
        <v>182.84165535956578</v>
      </c>
      <c r="H75" s="1" t="s">
        <v>156</v>
      </c>
      <c r="I75" s="92"/>
    </row>
    <row r="76" spans="1:9" x14ac:dyDescent="0.25">
      <c r="A76" s="3"/>
      <c r="B76" s="16"/>
      <c r="C76" s="16"/>
      <c r="D76" s="16"/>
      <c r="E76" s="16"/>
      <c r="F76" s="16"/>
      <c r="G76" s="17"/>
      <c r="H76" s="1"/>
      <c r="I76" s="92"/>
    </row>
    <row r="77" spans="1:9" x14ac:dyDescent="0.25">
      <c r="A77" s="3" t="s">
        <v>351</v>
      </c>
      <c r="B77" s="16">
        <f>SUM(B62:B65)</f>
        <v>27.428146982625016</v>
      </c>
      <c r="C77" s="16">
        <f t="shared" ref="C77:F77" si="30">SUM(C62:C65)</f>
        <v>26.790355686434367</v>
      </c>
      <c r="D77" s="16">
        <f t="shared" si="30"/>
        <v>23.321138186169609</v>
      </c>
      <c r="E77" s="16">
        <f t="shared" si="30"/>
        <v>6.1079648077542492</v>
      </c>
      <c r="F77" s="16">
        <f t="shared" si="30"/>
        <v>27.948310208240308</v>
      </c>
      <c r="G77" s="84">
        <f t="shared" si="16"/>
        <v>111.59591587122355</v>
      </c>
      <c r="H77" s="1" t="s">
        <v>146</v>
      </c>
      <c r="I77" s="92"/>
    </row>
    <row r="78" spans="1:9" x14ac:dyDescent="0.25">
      <c r="A78" s="3"/>
      <c r="B78" s="16"/>
      <c r="C78" s="16"/>
      <c r="D78" s="16"/>
      <c r="E78" s="16"/>
      <c r="F78" s="16"/>
      <c r="G78" s="17"/>
      <c r="H78" s="1"/>
      <c r="I78" s="92"/>
    </row>
    <row r="79" spans="1:9" x14ac:dyDescent="0.25">
      <c r="A79" s="3" t="s">
        <v>80</v>
      </c>
      <c r="B79" s="7">
        <v>3.64</v>
      </c>
      <c r="C79" s="7">
        <v>3.64</v>
      </c>
      <c r="D79" s="7">
        <v>3.64</v>
      </c>
      <c r="E79" s="7">
        <v>3.64</v>
      </c>
      <c r="F79" s="7">
        <v>3.64</v>
      </c>
      <c r="G79" s="23">
        <f>G80/G20</f>
        <v>3.64</v>
      </c>
      <c r="H79" s="1" t="s">
        <v>82</v>
      </c>
      <c r="I79" s="92"/>
    </row>
    <row r="80" spans="1:9" x14ac:dyDescent="0.25">
      <c r="A80" s="3" t="s">
        <v>81</v>
      </c>
      <c r="B80" s="16">
        <f>B79*B20</f>
        <v>28.501200000000001</v>
      </c>
      <c r="C80" s="16">
        <f>C79*C20</f>
        <v>25.953199999999999</v>
      </c>
      <c r="D80" s="16">
        <f>D79*D20</f>
        <v>18.6004</v>
      </c>
      <c r="E80" s="16">
        <f>E79*E20</f>
        <v>9.1364000000000001</v>
      </c>
      <c r="F80" s="16">
        <f>F79*F20</f>
        <v>21.694400000000002</v>
      </c>
      <c r="G80" s="17">
        <f>SUM(B80:F80)</f>
        <v>103.8856</v>
      </c>
      <c r="H80" s="1" t="s">
        <v>63</v>
      </c>
      <c r="I80" s="92"/>
    </row>
    <row r="81" spans="1:8" x14ac:dyDescent="0.25">
      <c r="A81" s="3"/>
    </row>
    <row r="82" spans="1:8" ht="18.75" x14ac:dyDescent="0.3">
      <c r="A82" s="33" t="s">
        <v>16</v>
      </c>
    </row>
    <row r="83" spans="1:8" x14ac:dyDescent="0.25">
      <c r="A83" s="3"/>
    </row>
    <row r="84" spans="1:8" x14ac:dyDescent="0.25">
      <c r="A84" s="3" t="s">
        <v>17</v>
      </c>
      <c r="B84" t="s">
        <v>18</v>
      </c>
      <c r="C84" t="s">
        <v>19</v>
      </c>
      <c r="D84" t="s">
        <v>20</v>
      </c>
      <c r="E84" t="s">
        <v>21</v>
      </c>
      <c r="F84" t="s">
        <v>23</v>
      </c>
      <c r="G84" s="3" t="s">
        <v>13</v>
      </c>
    </row>
    <row r="85" spans="1:8" x14ac:dyDescent="0.25">
      <c r="A85" s="3"/>
      <c r="E85" t="s">
        <v>22</v>
      </c>
      <c r="F85" t="s">
        <v>24</v>
      </c>
    </row>
    <row r="86" spans="1:8" x14ac:dyDescent="0.25">
      <c r="A86" s="3" t="s">
        <v>4</v>
      </c>
      <c r="B86" s="4">
        <f>B88/B87</f>
        <v>193.43065693430654</v>
      </c>
      <c r="C86" s="4">
        <f t="shared" ref="C86:G86" si="31">C88/C87</f>
        <v>796.9348659003831</v>
      </c>
      <c r="D86" s="4">
        <f t="shared" si="31"/>
        <v>771.84466019417482</v>
      </c>
      <c r="E86" s="4">
        <f t="shared" si="31"/>
        <v>280</v>
      </c>
      <c r="F86" s="4">
        <f t="shared" si="31"/>
        <v>106.25</v>
      </c>
      <c r="G86" s="4">
        <f t="shared" si="31"/>
        <v>338.71866295264618</v>
      </c>
    </row>
    <row r="87" spans="1:8" x14ac:dyDescent="0.25">
      <c r="A87" s="3" t="s">
        <v>12</v>
      </c>
      <c r="B87" s="8">
        <v>0.54800000000000004</v>
      </c>
      <c r="C87" s="8">
        <v>0.26100000000000001</v>
      </c>
      <c r="D87" s="8">
        <v>0.20599999999999999</v>
      </c>
      <c r="E87" s="8">
        <v>0.3</v>
      </c>
      <c r="F87" s="8">
        <f>0.05+0.06+0.37</f>
        <v>0.48</v>
      </c>
      <c r="G87" s="8">
        <f>SUM(B87:F87)</f>
        <v>1.7950000000000002</v>
      </c>
    </row>
    <row r="88" spans="1:8" x14ac:dyDescent="0.25">
      <c r="A88" s="3" t="s">
        <v>15</v>
      </c>
      <c r="B88" s="5">
        <v>106</v>
      </c>
      <c r="C88" s="5">
        <v>208</v>
      </c>
      <c r="D88" s="5">
        <v>159</v>
      </c>
      <c r="E88" s="5">
        <v>84</v>
      </c>
      <c r="F88" s="5">
        <f>17+21+13</f>
        <v>51</v>
      </c>
      <c r="G88" s="5">
        <f>SUM(B88:F88)</f>
        <v>608</v>
      </c>
    </row>
    <row r="89" spans="1:8" x14ac:dyDescent="0.25">
      <c r="A89" s="3" t="s">
        <v>6</v>
      </c>
      <c r="B89">
        <v>1</v>
      </c>
      <c r="C89">
        <v>1</v>
      </c>
      <c r="D89">
        <v>1</v>
      </c>
      <c r="E89">
        <v>1</v>
      </c>
      <c r="F89">
        <v>1</v>
      </c>
      <c r="G89" s="9">
        <f>G88/G90</f>
        <v>1</v>
      </c>
    </row>
    <row r="90" spans="1:8" x14ac:dyDescent="0.25">
      <c r="A90" s="3" t="s">
        <v>41</v>
      </c>
      <c r="B90" s="10">
        <f>B88/B89</f>
        <v>106</v>
      </c>
      <c r="C90" s="11">
        <f t="shared" ref="C90" si="32">C88/C89</f>
        <v>208</v>
      </c>
      <c r="D90" s="11">
        <f t="shared" ref="D90" si="33">D88/D89</f>
        <v>159</v>
      </c>
      <c r="E90" s="11">
        <f t="shared" ref="E90" si="34">E88/E89</f>
        <v>84</v>
      </c>
      <c r="F90" s="11">
        <f t="shared" ref="F90" si="35">F88/F89</f>
        <v>51</v>
      </c>
      <c r="G90" s="10">
        <f>SUM(B90:F90)</f>
        <v>608</v>
      </c>
    </row>
    <row r="91" spans="1:8" x14ac:dyDescent="0.25">
      <c r="A91" s="27" t="s">
        <v>64</v>
      </c>
      <c r="B91" s="15">
        <f>B90*$B$367</f>
        <v>21.813001266357112</v>
      </c>
      <c r="C91" s="15">
        <f>C90*$B$367</f>
        <v>42.802870409455466</v>
      </c>
      <c r="D91" s="15">
        <f>D90*$B$367</f>
        <v>32.719501899535672</v>
      </c>
      <c r="E91" s="15">
        <f>E90*$B$367</f>
        <v>17.285774588433938</v>
      </c>
      <c r="F91" s="15">
        <f>F90*$B$367</f>
        <v>10.494934571549177</v>
      </c>
      <c r="G91" s="17">
        <f>SUM(B91:F91)</f>
        <v>125.11608273533136</v>
      </c>
      <c r="H91" s="1" t="s">
        <v>62</v>
      </c>
    </row>
    <row r="92" spans="1:8" x14ac:dyDescent="0.25">
      <c r="A92" s="27" t="s">
        <v>65</v>
      </c>
      <c r="B92" s="15">
        <f>B91*$F$12/1000</f>
        <v>18.911872097931617</v>
      </c>
      <c r="C92" s="15">
        <f t="shared" ref="C92:F92" si="36">C91*$F$12/1000</f>
        <v>37.110088644997887</v>
      </c>
      <c r="D92" s="15">
        <f t="shared" si="36"/>
        <v>28.367808146897428</v>
      </c>
      <c r="E92" s="15">
        <f t="shared" si="36"/>
        <v>14.986766568172225</v>
      </c>
      <c r="F92" s="15">
        <f t="shared" si="36"/>
        <v>9.0991082735331368</v>
      </c>
      <c r="G92" s="17">
        <f>SUM(B92:F92)</f>
        <v>108.4756437315323</v>
      </c>
      <c r="H92" s="1" t="s">
        <v>63</v>
      </c>
    </row>
    <row r="93" spans="1:8" x14ac:dyDescent="0.25">
      <c r="A93" s="27" t="s">
        <v>78</v>
      </c>
      <c r="B93" s="15">
        <f>B91/B87</f>
        <v>39.804746836418083</v>
      </c>
      <c r="C93" s="15">
        <f t="shared" ref="C93:G93" si="37">C91/C87</f>
        <v>163.99567206687917</v>
      </c>
      <c r="D93" s="15">
        <f t="shared" si="37"/>
        <v>158.83253349289163</v>
      </c>
      <c r="E93" s="15">
        <f t="shared" si="37"/>
        <v>57.619248628113127</v>
      </c>
      <c r="F93" s="15">
        <f t="shared" si="37"/>
        <v>21.864447024060784</v>
      </c>
      <c r="G93" s="17">
        <f t="shared" si="37"/>
        <v>69.702553055894896</v>
      </c>
      <c r="H93" s="1" t="s">
        <v>77</v>
      </c>
    </row>
    <row r="94" spans="1:8" x14ac:dyDescent="0.25">
      <c r="A94" s="27" t="s">
        <v>147</v>
      </c>
      <c r="B94" s="37">
        <v>750</v>
      </c>
      <c r="C94" s="17" t="s">
        <v>149</v>
      </c>
      <c r="D94" s="15"/>
      <c r="E94" s="15"/>
      <c r="F94" s="15"/>
      <c r="G94" s="17"/>
      <c r="H94" s="1"/>
    </row>
    <row r="95" spans="1:8" x14ac:dyDescent="0.25">
      <c r="A95" s="27" t="s">
        <v>173</v>
      </c>
      <c r="B95" s="38">
        <f>B87*B93*$B94/1000</f>
        <v>16.359750949767836</v>
      </c>
      <c r="C95" s="38">
        <f t="shared" ref="C95" si="38">C87*C93*$B94/1000</f>
        <v>32.102152807091599</v>
      </c>
      <c r="D95" s="38">
        <f t="shared" ref="D95" si="39">D87*D93*$B94/1000</f>
        <v>24.539626424651754</v>
      </c>
      <c r="E95" s="38">
        <f t="shared" ref="E95" si="40">E87*E93*$B94/1000</f>
        <v>12.964330941325453</v>
      </c>
      <c r="F95" s="38">
        <f t="shared" ref="F95" si="41">F87*F93*$B94/1000</f>
        <v>7.8712009286618825</v>
      </c>
      <c r="G95" s="38">
        <f>SUM(B95:F95)</f>
        <v>93.837062051498521</v>
      </c>
      <c r="H95" s="1" t="s">
        <v>146</v>
      </c>
    </row>
    <row r="96" spans="1:8" x14ac:dyDescent="0.25">
      <c r="A96" s="3"/>
      <c r="B96" s="10"/>
      <c r="C96" s="11"/>
      <c r="D96" s="11"/>
      <c r="E96" s="11"/>
      <c r="F96" s="11"/>
      <c r="G96" s="10"/>
    </row>
    <row r="97" spans="1:8" x14ac:dyDescent="0.25">
      <c r="A97" s="27" t="s">
        <v>163</v>
      </c>
      <c r="B97" s="39">
        <f t="shared" ref="B97:G97" si="42">100*$B$387*B95/B92</f>
        <v>6.0553633217993097</v>
      </c>
      <c r="C97" s="39">
        <f t="shared" si="42"/>
        <v>6.0553633217993097</v>
      </c>
      <c r="D97" s="39">
        <f t="shared" si="42"/>
        <v>6.0553633217993079</v>
      </c>
      <c r="E97" s="39">
        <f t="shared" si="42"/>
        <v>6.0553633217993079</v>
      </c>
      <c r="F97" s="39">
        <f t="shared" si="42"/>
        <v>6.0553633217993079</v>
      </c>
      <c r="G97" s="39">
        <f t="shared" si="42"/>
        <v>6.0553633217993079</v>
      </c>
      <c r="H97" s="1" t="s">
        <v>161</v>
      </c>
    </row>
    <row r="98" spans="1:8" x14ac:dyDescent="0.25">
      <c r="A98" s="27"/>
      <c r="B98" s="39"/>
      <c r="C98" s="39"/>
      <c r="D98" s="39"/>
      <c r="E98" s="39"/>
      <c r="F98" s="39"/>
      <c r="G98" s="39"/>
      <c r="H98" s="1"/>
    </row>
    <row r="99" spans="1:8" x14ac:dyDescent="0.25">
      <c r="A99" s="3" t="s">
        <v>17</v>
      </c>
      <c r="B99" t="s">
        <v>18</v>
      </c>
      <c r="C99" t="s">
        <v>19</v>
      </c>
      <c r="D99" t="s">
        <v>20</v>
      </c>
      <c r="E99" t="s">
        <v>21</v>
      </c>
      <c r="F99" t="s">
        <v>23</v>
      </c>
      <c r="G99" s="3" t="s">
        <v>13</v>
      </c>
    </row>
    <row r="100" spans="1:8" x14ac:dyDescent="0.25">
      <c r="A100" s="3"/>
      <c r="E100" t="s">
        <v>22</v>
      </c>
      <c r="F100" t="s">
        <v>24</v>
      </c>
    </row>
    <row r="101" spans="1:8" x14ac:dyDescent="0.25">
      <c r="A101" s="3" t="s">
        <v>14</v>
      </c>
      <c r="B101" s="3" t="s">
        <v>287</v>
      </c>
      <c r="C101" s="3" t="s">
        <v>287</v>
      </c>
      <c r="D101" s="3" t="s">
        <v>287</v>
      </c>
      <c r="E101" s="3" t="s">
        <v>287</v>
      </c>
      <c r="F101" s="3" t="s">
        <v>287</v>
      </c>
      <c r="G101" s="3" t="s">
        <v>287</v>
      </c>
    </row>
    <row r="102" spans="1:8" x14ac:dyDescent="0.25">
      <c r="A102" s="3" t="s">
        <v>98</v>
      </c>
      <c r="B102">
        <v>100</v>
      </c>
      <c r="C102">
        <v>125</v>
      </c>
      <c r="D102">
        <v>100</v>
      </c>
      <c r="E102">
        <v>100</v>
      </c>
      <c r="F102">
        <v>100</v>
      </c>
      <c r="G102" s="22">
        <f>G103*B378*1000/G88</f>
        <v>108.55263157894737</v>
      </c>
      <c r="H102" s="1" t="s">
        <v>79</v>
      </c>
    </row>
    <row r="103" spans="1:8" x14ac:dyDescent="0.25">
      <c r="A103" s="3" t="s">
        <v>120</v>
      </c>
      <c r="B103" s="16">
        <f>B88*B102/($B$378*1000)</f>
        <v>3.5333333333333332</v>
      </c>
      <c r="C103" s="16">
        <f>C88*C102/($B$378*1000)</f>
        <v>8.6666666666666661</v>
      </c>
      <c r="D103" s="16">
        <f>D88*D102/($B$378*1000)</f>
        <v>5.3</v>
      </c>
      <c r="E103" s="16">
        <f>E88*E102/($B$378*1000)</f>
        <v>2.8</v>
      </c>
      <c r="F103" s="16">
        <f>F88*F102/($B$378*1000)</f>
        <v>1.7</v>
      </c>
      <c r="G103" s="17">
        <f>SUM(B103:F103)</f>
        <v>22</v>
      </c>
      <c r="H103" s="1" t="s">
        <v>63</v>
      </c>
    </row>
    <row r="104" spans="1:8" x14ac:dyDescent="0.25">
      <c r="A104" s="3" t="s">
        <v>246</v>
      </c>
      <c r="B104" s="16">
        <f>B103*($B$378-1)</f>
        <v>7.0666666666666664</v>
      </c>
      <c r="C104" s="16">
        <f>C103*($B$378-1)</f>
        <v>17.333333333333332</v>
      </c>
      <c r="D104" s="16">
        <f>D103*($B$378-1)</f>
        <v>10.6</v>
      </c>
      <c r="E104" s="16">
        <f>E103*($B$378-1)</f>
        <v>5.6</v>
      </c>
      <c r="F104" s="16">
        <f>F103*($B$378-1)</f>
        <v>3.4</v>
      </c>
      <c r="G104" s="39">
        <f t="shared" ref="G104:G105" si="43">SUM(B104:F104)</f>
        <v>44</v>
      </c>
      <c r="H104" s="1" t="s">
        <v>63</v>
      </c>
    </row>
    <row r="105" spans="1:8" x14ac:dyDescent="0.25">
      <c r="A105" s="3" t="s">
        <v>248</v>
      </c>
      <c r="B105" s="7">
        <f>B104*$B$289/100</f>
        <v>0.28738671914324693</v>
      </c>
      <c r="C105" s="7">
        <f t="shared" ref="C105" si="44">C104*$B$289/100</f>
        <v>0.70491082054003951</v>
      </c>
      <c r="D105" s="7">
        <f t="shared" ref="D105" si="45">D104*$B$289/100</f>
        <v>0.43108007871487042</v>
      </c>
      <c r="E105" s="7">
        <f t="shared" ref="E105" si="46">E104*$B$289/100</f>
        <v>0.22774041894370509</v>
      </c>
      <c r="F105" s="7">
        <f t="shared" ref="F105" si="47">F104*$B$289/100</f>
        <v>0.13827096864439239</v>
      </c>
      <c r="G105" s="83">
        <f t="shared" si="43"/>
        <v>1.7893890059862545</v>
      </c>
      <c r="H105" s="1" t="s">
        <v>213</v>
      </c>
    </row>
    <row r="106" spans="1:8" x14ac:dyDescent="0.25">
      <c r="A106" s="3" t="s">
        <v>286</v>
      </c>
      <c r="B106" s="5">
        <v>10000</v>
      </c>
      <c r="C106" s="5">
        <v>40000</v>
      </c>
      <c r="D106" s="5">
        <v>35000</v>
      </c>
      <c r="E106" s="5">
        <v>15000</v>
      </c>
      <c r="F106" s="5">
        <v>7000</v>
      </c>
      <c r="G106" s="85">
        <f>1000*G107/G87</f>
        <v>17264.623955431754</v>
      </c>
      <c r="H106" s="1"/>
    </row>
    <row r="107" spans="1:8" x14ac:dyDescent="0.25">
      <c r="A107" s="3" t="s">
        <v>249</v>
      </c>
      <c r="B107" s="16">
        <f>B87*B106/1000</f>
        <v>5.48</v>
      </c>
      <c r="C107" s="16">
        <f t="shared" ref="C107" si="48">C87*C106/1000</f>
        <v>10.44</v>
      </c>
      <c r="D107" s="16">
        <f t="shared" ref="D107" si="49">D87*D106/1000</f>
        <v>7.21</v>
      </c>
      <c r="E107" s="16">
        <f t="shared" ref="E107" si="50">E87*E106/1000</f>
        <v>4.5</v>
      </c>
      <c r="F107" s="16">
        <f t="shared" ref="F107" si="51">F87*F106/1000</f>
        <v>3.36</v>
      </c>
      <c r="G107" s="84">
        <f t="shared" ref="G107" si="52">SUM(B107:F107)</f>
        <v>30.99</v>
      </c>
      <c r="H107" s="1" t="s">
        <v>252</v>
      </c>
    </row>
    <row r="108" spans="1:8" x14ac:dyDescent="0.25">
      <c r="A108" s="3" t="s">
        <v>250</v>
      </c>
      <c r="B108" s="6">
        <f>1000*B105/B87</f>
        <v>524.42831960446517</v>
      </c>
      <c r="C108" s="6">
        <f t="shared" ref="C108:G108" si="53">1000*C105/C87</f>
        <v>2700.8077415327184</v>
      </c>
      <c r="D108" s="6">
        <f t="shared" si="53"/>
        <v>2092.6217413343225</v>
      </c>
      <c r="E108" s="6">
        <f t="shared" si="53"/>
        <v>759.13472981235032</v>
      </c>
      <c r="F108" s="6">
        <f t="shared" si="53"/>
        <v>288.06451800915079</v>
      </c>
      <c r="G108" s="79">
        <f t="shared" si="53"/>
        <v>996.87409804248148</v>
      </c>
      <c r="H108" s="1" t="s">
        <v>156</v>
      </c>
    </row>
    <row r="109" spans="1:8" x14ac:dyDescent="0.25">
      <c r="A109" s="3" t="s">
        <v>251</v>
      </c>
      <c r="B109" s="14">
        <f>B108/B106</f>
        <v>5.2442831960446516E-2</v>
      </c>
      <c r="C109" s="14">
        <f t="shared" ref="C109" si="54">C108/C106</f>
        <v>6.7520193538317966E-2</v>
      </c>
      <c r="D109" s="14">
        <f t="shared" ref="D109" si="55">D108/D106</f>
        <v>5.9789192609552073E-2</v>
      </c>
      <c r="E109" s="14">
        <f t="shared" ref="E109" si="56">E108/E106</f>
        <v>5.0608981987490018E-2</v>
      </c>
      <c r="F109" s="14">
        <f t="shared" ref="F109" si="57">F108/F106</f>
        <v>4.1152074001307257E-2</v>
      </c>
      <c r="G109" s="43">
        <f t="shared" ref="G109" si="58">G108/G106</f>
        <v>5.7740852080872998E-2</v>
      </c>
      <c r="H109" s="1" t="s">
        <v>156</v>
      </c>
    </row>
    <row r="110" spans="1:8" ht="14.45" customHeight="1" x14ac:dyDescent="0.25">
      <c r="A110" s="3"/>
      <c r="B110" s="16"/>
      <c r="C110" s="16"/>
      <c r="D110" s="16"/>
      <c r="E110" s="16"/>
      <c r="F110" s="16"/>
      <c r="G110" s="17"/>
      <c r="H110" s="1"/>
    </row>
    <row r="111" spans="1:8" x14ac:dyDescent="0.25">
      <c r="A111" s="3" t="s">
        <v>83</v>
      </c>
      <c r="B111" s="7">
        <v>68.3</v>
      </c>
      <c r="C111" s="16">
        <v>352.5</v>
      </c>
      <c r="D111" s="7">
        <v>68.3</v>
      </c>
      <c r="E111" s="7">
        <v>68.3</v>
      </c>
      <c r="F111" s="7">
        <v>58.3</v>
      </c>
      <c r="G111" s="23">
        <f>G112/G87</f>
        <v>106.94969359331476</v>
      </c>
      <c r="H111" s="1" t="s">
        <v>82</v>
      </c>
    </row>
    <row r="112" spans="1:8" x14ac:dyDescent="0.25">
      <c r="A112" s="3" t="s">
        <v>84</v>
      </c>
      <c r="B112" s="16">
        <f>B111*B87</f>
        <v>37.428400000000003</v>
      </c>
      <c r="C112" s="16">
        <f t="shared" ref="C112" si="59">C111*C87</f>
        <v>92.002499999999998</v>
      </c>
      <c r="D112" s="16">
        <f t="shared" ref="D112" si="60">D111*D87</f>
        <v>14.069799999999999</v>
      </c>
      <c r="E112" s="16">
        <f t="shared" ref="E112" si="61">E111*E87</f>
        <v>20.49</v>
      </c>
      <c r="F112" s="16">
        <f t="shared" ref="F112" si="62">F111*F87</f>
        <v>27.983999999999998</v>
      </c>
      <c r="G112" s="17">
        <f>SUM(B112:F112)</f>
        <v>191.97470000000001</v>
      </c>
      <c r="H112" s="1" t="s">
        <v>63</v>
      </c>
    </row>
    <row r="113" spans="1:8" x14ac:dyDescent="0.25">
      <c r="A113" s="3"/>
      <c r="B113" s="16"/>
      <c r="C113" s="16"/>
      <c r="D113" s="16"/>
      <c r="E113" s="16"/>
      <c r="F113" s="16"/>
      <c r="G113" s="17"/>
      <c r="H113" s="1"/>
    </row>
    <row r="114" spans="1:8" x14ac:dyDescent="0.25">
      <c r="A114" s="3"/>
    </row>
    <row r="115" spans="1:8" ht="18.75" x14ac:dyDescent="0.3">
      <c r="A115" s="33" t="s">
        <v>43</v>
      </c>
    </row>
    <row r="116" spans="1:8" x14ac:dyDescent="0.25">
      <c r="A116" s="3"/>
    </row>
    <row r="117" spans="1:8" x14ac:dyDescent="0.25">
      <c r="A117" s="3" t="s">
        <v>52</v>
      </c>
      <c r="B117" s="5">
        <v>5000</v>
      </c>
    </row>
    <row r="118" spans="1:8" x14ac:dyDescent="0.25">
      <c r="A118" s="27" t="s">
        <v>67</v>
      </c>
      <c r="B118" s="18">
        <f>B117*B365/1000</f>
        <v>18.932038834951459</v>
      </c>
      <c r="C118" s="1" t="s">
        <v>62</v>
      </c>
    </row>
    <row r="119" spans="1:8" x14ac:dyDescent="0.25">
      <c r="A119" s="27" t="s">
        <v>68</v>
      </c>
      <c r="B119" s="17">
        <f>B118*$F$13/1000</f>
        <v>16.522936893203884</v>
      </c>
      <c r="C119" s="1" t="s">
        <v>63</v>
      </c>
    </row>
    <row r="120" spans="1:8" x14ac:dyDescent="0.25">
      <c r="A120" s="27" t="s">
        <v>148</v>
      </c>
      <c r="B120" s="37">
        <v>1050</v>
      </c>
      <c r="C120" s="1" t="s">
        <v>149</v>
      </c>
    </row>
    <row r="121" spans="1:8" x14ac:dyDescent="0.25">
      <c r="A121" s="27" t="s">
        <v>174</v>
      </c>
      <c r="B121" s="38">
        <f>B118*B120/1000</f>
        <v>19.878640776699033</v>
      </c>
      <c r="C121" s="1" t="s">
        <v>146</v>
      </c>
    </row>
    <row r="122" spans="1:8" x14ac:dyDescent="0.25">
      <c r="A122" s="27"/>
      <c r="B122" s="38"/>
      <c r="C122" s="1"/>
    </row>
    <row r="123" spans="1:8" x14ac:dyDescent="0.25">
      <c r="A123" s="27" t="s">
        <v>164</v>
      </c>
      <c r="B123" s="39">
        <f>100*$B$387*B121/B118</f>
        <v>7.3500000000000005</v>
      </c>
      <c r="C123" s="39" t="s">
        <v>161</v>
      </c>
      <c r="D123" s="39"/>
      <c r="E123" s="39"/>
      <c r="F123" s="39"/>
      <c r="G123" s="39"/>
      <c r="H123" s="1"/>
    </row>
    <row r="126" spans="1:8" ht="18.75" x14ac:dyDescent="0.3">
      <c r="A126" s="33" t="s">
        <v>55</v>
      </c>
    </row>
    <row r="127" spans="1:8" x14ac:dyDescent="0.25">
      <c r="A127" s="27"/>
    </row>
    <row r="128" spans="1:8" x14ac:dyDescent="0.25">
      <c r="A128" s="3" t="s">
        <v>57</v>
      </c>
      <c r="B128" s="5">
        <v>2705</v>
      </c>
    </row>
    <row r="129" spans="1:3" x14ac:dyDescent="0.25">
      <c r="A129" s="25" t="s">
        <v>58</v>
      </c>
      <c r="B129" s="13">
        <v>0.9</v>
      </c>
    </row>
    <row r="130" spans="1:3" x14ac:dyDescent="0.25">
      <c r="A130" s="27" t="s">
        <v>69</v>
      </c>
      <c r="B130" s="18">
        <f>B129*B128*B374*B367/1000</f>
        <v>16.53230002110595</v>
      </c>
      <c r="C130" s="1" t="s">
        <v>62</v>
      </c>
    </row>
    <row r="131" spans="1:3" x14ac:dyDescent="0.25">
      <c r="A131" s="27" t="s">
        <v>70</v>
      </c>
      <c r="B131" s="17">
        <f>B130*$F$13/1000</f>
        <v>14.428564843420217</v>
      </c>
      <c r="C131" s="1" t="s">
        <v>63</v>
      </c>
    </row>
    <row r="132" spans="1:3" x14ac:dyDescent="0.25">
      <c r="A132" s="27" t="s">
        <v>150</v>
      </c>
      <c r="B132" s="37">
        <v>1100</v>
      </c>
      <c r="C132" s="1" t="s">
        <v>149</v>
      </c>
    </row>
    <row r="133" spans="1:3" x14ac:dyDescent="0.25">
      <c r="A133" s="27" t="s">
        <v>151</v>
      </c>
      <c r="B133" s="38">
        <f>B130*B132/1000</f>
        <v>18.185530023216547</v>
      </c>
      <c r="C133" s="1" t="s">
        <v>146</v>
      </c>
    </row>
    <row r="134" spans="1:3" x14ac:dyDescent="0.25">
      <c r="A134" s="1"/>
      <c r="B134" s="38"/>
      <c r="C134" s="1"/>
    </row>
    <row r="135" spans="1:3" x14ac:dyDescent="0.25">
      <c r="A135" s="27" t="s">
        <v>165</v>
      </c>
      <c r="B135" s="39">
        <f>100*$B$387*B133/B130</f>
        <v>7.700000000000002</v>
      </c>
      <c r="C135" s="39" t="s">
        <v>161</v>
      </c>
    </row>
    <row r="136" spans="1:3" x14ac:dyDescent="0.25">
      <c r="A136" s="3"/>
    </row>
    <row r="137" spans="1:3" x14ac:dyDescent="0.25">
      <c r="A137" s="3" t="s">
        <v>61</v>
      </c>
      <c r="B137" s="5">
        <v>7950</v>
      </c>
    </row>
    <row r="138" spans="1:3" x14ac:dyDescent="0.25">
      <c r="A138" s="25" t="s">
        <v>58</v>
      </c>
      <c r="B138" s="13">
        <v>0.8</v>
      </c>
    </row>
    <row r="139" spans="1:3" x14ac:dyDescent="0.25">
      <c r="A139" s="27" t="s">
        <v>71</v>
      </c>
      <c r="B139" s="18">
        <f>B138*B137*B376*B367/1000</f>
        <v>24.866821443647105</v>
      </c>
      <c r="C139" s="1" t="s">
        <v>62</v>
      </c>
    </row>
    <row r="140" spans="1:3" x14ac:dyDescent="0.25">
      <c r="A140" s="27" t="s">
        <v>72</v>
      </c>
      <c r="B140" s="17">
        <f>B139*$F$13/1000</f>
        <v>21.702518414943011</v>
      </c>
      <c r="C140" s="1" t="s">
        <v>63</v>
      </c>
    </row>
    <row r="141" spans="1:3" x14ac:dyDescent="0.25">
      <c r="A141" s="27" t="s">
        <v>152</v>
      </c>
      <c r="B141" s="37">
        <v>1100</v>
      </c>
      <c r="C141" s="1" t="s">
        <v>149</v>
      </c>
    </row>
    <row r="142" spans="1:3" x14ac:dyDescent="0.25">
      <c r="A142" s="27" t="s">
        <v>153</v>
      </c>
      <c r="B142" s="38">
        <f>B139*B141/1000</f>
        <v>27.353503588011815</v>
      </c>
      <c r="C142" s="1" t="s">
        <v>146</v>
      </c>
    </row>
    <row r="143" spans="1:3" x14ac:dyDescent="0.25">
      <c r="A143" s="1"/>
      <c r="B143" s="38"/>
      <c r="C143" s="1"/>
    </row>
    <row r="144" spans="1:3" x14ac:dyDescent="0.25">
      <c r="A144" s="27" t="s">
        <v>166</v>
      </c>
      <c r="B144" s="39">
        <f>100*$B$387*B142/B139</f>
        <v>7.7000000000000011</v>
      </c>
      <c r="C144" s="39" t="s">
        <v>161</v>
      </c>
    </row>
    <row r="145" spans="1:7" x14ac:dyDescent="0.25">
      <c r="A145" s="27"/>
      <c r="B145" s="18"/>
      <c r="C145" s="1"/>
    </row>
    <row r="146" spans="1:7" x14ac:dyDescent="0.25">
      <c r="A146" s="27"/>
      <c r="B146" s="18"/>
      <c r="C146" s="1"/>
    </row>
    <row r="147" spans="1:7" x14ac:dyDescent="0.25">
      <c r="A147" s="27" t="s">
        <v>73</v>
      </c>
      <c r="B147" s="18">
        <f>G24+G91+B118+B130+B139</f>
        <v>464.24610595187841</v>
      </c>
      <c r="C147" s="1" t="s">
        <v>62</v>
      </c>
    </row>
    <row r="148" spans="1:7" x14ac:dyDescent="0.25">
      <c r="A148" s="27" t="s">
        <v>74</v>
      </c>
      <c r="B148" s="18">
        <f>G25+G92+B119+B131+B140</f>
        <v>384.51725279521952</v>
      </c>
      <c r="C148" s="1" t="s">
        <v>63</v>
      </c>
    </row>
    <row r="149" spans="1:7" x14ac:dyDescent="0.25">
      <c r="A149" s="27"/>
      <c r="B149" s="18"/>
      <c r="C149" s="1"/>
    </row>
    <row r="150" spans="1:7" ht="18.75" x14ac:dyDescent="0.3">
      <c r="A150" s="33" t="s">
        <v>85</v>
      </c>
      <c r="B150" s="18"/>
      <c r="C150" s="1"/>
      <c r="G150" s="24"/>
    </row>
    <row r="151" spans="1:7" ht="18.75" x14ac:dyDescent="0.3">
      <c r="A151" s="33"/>
      <c r="B151" s="18"/>
      <c r="C151" s="1"/>
      <c r="G151" s="24"/>
    </row>
    <row r="152" spans="1:7" ht="15.75" x14ac:dyDescent="0.25">
      <c r="A152" s="27" t="s">
        <v>86</v>
      </c>
      <c r="B152" s="28" t="s">
        <v>87</v>
      </c>
      <c r="C152" s="27" t="s">
        <v>269</v>
      </c>
      <c r="D152" s="27" t="s">
        <v>88</v>
      </c>
      <c r="E152" s="27" t="s">
        <v>89</v>
      </c>
      <c r="F152" s="27" t="s">
        <v>13</v>
      </c>
      <c r="G152" s="24"/>
    </row>
    <row r="153" spans="1:7" x14ac:dyDescent="0.25">
      <c r="A153" s="25" t="s">
        <v>94</v>
      </c>
      <c r="B153" s="26">
        <v>32</v>
      </c>
      <c r="C153" s="19">
        <v>4.4000000000000004</v>
      </c>
      <c r="D153" s="19">
        <v>0.5</v>
      </c>
      <c r="E153">
        <v>0.15</v>
      </c>
      <c r="F153" s="16">
        <f>SUM(B153:E153)</f>
        <v>37.049999999999997</v>
      </c>
      <c r="G153" s="90" t="s">
        <v>92</v>
      </c>
    </row>
    <row r="154" spans="1:7" x14ac:dyDescent="0.25">
      <c r="A154" s="25" t="s">
        <v>93</v>
      </c>
      <c r="B154" s="29">
        <v>8700</v>
      </c>
      <c r="C154" s="29">
        <v>12700</v>
      </c>
      <c r="D154" s="29">
        <v>34800</v>
      </c>
      <c r="E154" s="5">
        <v>17100</v>
      </c>
      <c r="F154" s="6">
        <f>1000*F155/F153</f>
        <v>9561.2685560053978</v>
      </c>
      <c r="G154" s="90" t="s">
        <v>91</v>
      </c>
    </row>
    <row r="155" spans="1:7" x14ac:dyDescent="0.25">
      <c r="A155" s="25" t="s">
        <v>95</v>
      </c>
      <c r="B155" s="29">
        <f>B153*B154/1000</f>
        <v>278.39999999999998</v>
      </c>
      <c r="C155" s="29">
        <f t="shared" ref="C155:E155" si="63">C153*C154/1000</f>
        <v>55.88000000000001</v>
      </c>
      <c r="D155" s="29">
        <f t="shared" si="63"/>
        <v>17.399999999999999</v>
      </c>
      <c r="E155" s="29">
        <f t="shared" si="63"/>
        <v>2.5649999999999999</v>
      </c>
      <c r="F155" s="16">
        <f>SUM(B155:E155)</f>
        <v>354.24499999999995</v>
      </c>
      <c r="G155" s="90" t="s">
        <v>141</v>
      </c>
    </row>
    <row r="156" spans="1:7" x14ac:dyDescent="0.25">
      <c r="A156" s="25" t="s">
        <v>90</v>
      </c>
      <c r="B156" s="31">
        <v>3.75</v>
      </c>
      <c r="C156" s="19">
        <v>2.75</v>
      </c>
      <c r="D156" s="19">
        <v>0.7</v>
      </c>
      <c r="E156">
        <v>2.4</v>
      </c>
      <c r="F156" s="9">
        <f>F155/F157</f>
        <v>2.9401367379998544</v>
      </c>
      <c r="G156" s="90" t="s">
        <v>96</v>
      </c>
    </row>
    <row r="157" spans="1:7" x14ac:dyDescent="0.25">
      <c r="A157" s="27" t="s">
        <v>122</v>
      </c>
      <c r="B157" s="18">
        <f>B153*B154/(B156*1000)</f>
        <v>74.239999999999995</v>
      </c>
      <c r="C157" s="18">
        <f t="shared" ref="C157:E157" si="64">C153*C154/(C156*1000)</f>
        <v>20.320000000000004</v>
      </c>
      <c r="D157" s="18">
        <f t="shared" si="64"/>
        <v>24.857142857142858</v>
      </c>
      <c r="E157" s="18">
        <f t="shared" si="64"/>
        <v>1.0687500000000001</v>
      </c>
      <c r="F157" s="18">
        <f>SUM(B157:E157)</f>
        <v>120.48589285714286</v>
      </c>
      <c r="G157" s="89" t="s">
        <v>63</v>
      </c>
    </row>
    <row r="158" spans="1:7" x14ac:dyDescent="0.25">
      <c r="A158" s="27" t="s">
        <v>140</v>
      </c>
      <c r="B158" s="26">
        <v>75</v>
      </c>
      <c r="C158" s="26">
        <v>100</v>
      </c>
      <c r="D158" s="26">
        <v>650</v>
      </c>
      <c r="E158" s="26">
        <v>450</v>
      </c>
      <c r="F158" s="26">
        <f>F159/F153</f>
        <v>87.246963562753038</v>
      </c>
      <c r="G158" s="90" t="s">
        <v>142</v>
      </c>
    </row>
    <row r="159" spans="1:7" x14ac:dyDescent="0.25">
      <c r="A159" s="27" t="s">
        <v>143</v>
      </c>
      <c r="B159" s="35">
        <f>B158*B153</f>
        <v>2400</v>
      </c>
      <c r="C159" s="35">
        <f t="shared" ref="C159:E159" si="65">C158*C153</f>
        <v>440.00000000000006</v>
      </c>
      <c r="D159" s="35">
        <f t="shared" si="65"/>
        <v>325</v>
      </c>
      <c r="E159" s="35">
        <f t="shared" si="65"/>
        <v>67.5</v>
      </c>
      <c r="F159" s="35">
        <f>SUM(B159:E159)</f>
        <v>3232.5</v>
      </c>
      <c r="G159" s="89" t="s">
        <v>144</v>
      </c>
    </row>
    <row r="160" spans="1:7" ht="15.75" x14ac:dyDescent="0.25">
      <c r="A160" s="27"/>
      <c r="B160" s="35"/>
      <c r="C160" s="35"/>
      <c r="D160" s="35"/>
      <c r="E160" s="35"/>
      <c r="F160" s="35"/>
      <c r="G160" s="86"/>
    </row>
    <row r="161" spans="1:9" x14ac:dyDescent="0.25">
      <c r="A161" s="27" t="s">
        <v>270</v>
      </c>
      <c r="B161" s="94">
        <v>30000</v>
      </c>
      <c r="C161" s="94">
        <v>40000</v>
      </c>
      <c r="D161" s="94">
        <v>300000</v>
      </c>
      <c r="E161" s="94">
        <v>200000</v>
      </c>
      <c r="F161" s="85">
        <f>1000*F162/F153</f>
        <v>35519.568151147105</v>
      </c>
      <c r="G161" s="88"/>
    </row>
    <row r="162" spans="1:9" x14ac:dyDescent="0.25">
      <c r="A162" s="27" t="s">
        <v>222</v>
      </c>
      <c r="B162" s="81">
        <f>B153*B161/1000</f>
        <v>960</v>
      </c>
      <c r="C162" s="81">
        <f>C153*C161/1000</f>
        <v>176</v>
      </c>
      <c r="D162" s="81">
        <f>D153*D161/1000</f>
        <v>150</v>
      </c>
      <c r="E162" s="81">
        <f>E153*E161/1000</f>
        <v>30</v>
      </c>
      <c r="F162" s="79">
        <f>SUM(B162:E162)</f>
        <v>1316</v>
      </c>
      <c r="G162" s="89" t="s">
        <v>146</v>
      </c>
    </row>
    <row r="163" spans="1:9" x14ac:dyDescent="0.25">
      <c r="A163" s="27" t="s">
        <v>232</v>
      </c>
      <c r="B163" s="81">
        <f>B161*$B$397</f>
        <v>2100</v>
      </c>
      <c r="C163" s="81">
        <f>C161*$B$397</f>
        <v>2800.0000000000005</v>
      </c>
      <c r="D163" s="81">
        <f>D161*$B$397</f>
        <v>21000.000000000004</v>
      </c>
      <c r="E163" s="81">
        <f>E161*$B$397</f>
        <v>14000.000000000002</v>
      </c>
      <c r="F163" s="79">
        <f>1000*F164/F153</f>
        <v>2486.369770580297</v>
      </c>
      <c r="G163" s="89" t="s">
        <v>156</v>
      </c>
      <c r="I163" s="97"/>
    </row>
    <row r="164" spans="1:9" x14ac:dyDescent="0.25">
      <c r="A164" s="27" t="s">
        <v>233</v>
      </c>
      <c r="B164" s="80">
        <f>B163*B153/1000</f>
        <v>67.2</v>
      </c>
      <c r="C164" s="80">
        <f t="shared" ref="C164:E164" si="66">C163*C153/1000</f>
        <v>12.320000000000004</v>
      </c>
      <c r="D164" s="80">
        <f t="shared" si="66"/>
        <v>10.500000000000002</v>
      </c>
      <c r="E164" s="80">
        <f t="shared" si="66"/>
        <v>2.1</v>
      </c>
      <c r="F164" s="78">
        <f>SUM(B164:E164)</f>
        <v>92.12</v>
      </c>
      <c r="G164" s="89" t="s">
        <v>213</v>
      </c>
    </row>
    <row r="165" spans="1:9" x14ac:dyDescent="0.25">
      <c r="A165" s="27"/>
      <c r="B165" s="81"/>
      <c r="C165" s="81"/>
      <c r="D165" s="81"/>
      <c r="E165" s="81"/>
      <c r="F165" s="79"/>
      <c r="G165" s="89"/>
    </row>
    <row r="166" spans="1:9" x14ac:dyDescent="0.25">
      <c r="A166" s="27" t="s">
        <v>226</v>
      </c>
      <c r="B166" s="94">
        <v>40</v>
      </c>
      <c r="C166" s="94">
        <v>35</v>
      </c>
      <c r="D166" s="94">
        <v>25</v>
      </c>
      <c r="E166" s="94">
        <v>20</v>
      </c>
      <c r="F166" s="82">
        <f>F155/F168</f>
        <v>37.762684504479118</v>
      </c>
      <c r="G166" s="89" t="s">
        <v>230</v>
      </c>
    </row>
    <row r="167" spans="1:9" x14ac:dyDescent="0.25">
      <c r="A167" s="27" t="s">
        <v>228</v>
      </c>
      <c r="B167" s="94">
        <f>B154/B166</f>
        <v>217.5</v>
      </c>
      <c r="C167" s="94">
        <f t="shared" ref="C167:E167" si="67">C154/C166</f>
        <v>362.85714285714283</v>
      </c>
      <c r="D167" s="94">
        <f t="shared" si="67"/>
        <v>1392</v>
      </c>
      <c r="E167" s="94">
        <f t="shared" si="67"/>
        <v>855</v>
      </c>
      <c r="F167" s="82">
        <f>1000*F168/F153</f>
        <v>253.19356082513977</v>
      </c>
      <c r="G167" s="89" t="s">
        <v>231</v>
      </c>
    </row>
    <row r="168" spans="1:9" x14ac:dyDescent="0.25">
      <c r="A168" s="27" t="s">
        <v>229</v>
      </c>
      <c r="B168" s="95">
        <f>B167*B153/1000</f>
        <v>6.96</v>
      </c>
      <c r="C168" s="95">
        <f t="shared" ref="C168:E168" si="68">C167*C153/1000</f>
        <v>1.5965714285714288</v>
      </c>
      <c r="D168" s="95">
        <f t="shared" si="68"/>
        <v>0.69599999999999995</v>
      </c>
      <c r="E168" s="95">
        <f t="shared" si="68"/>
        <v>0.12825</v>
      </c>
      <c r="F168" s="64">
        <f>SUM(B168:E168)</f>
        <v>9.3808214285714282</v>
      </c>
      <c r="G168" s="89" t="s">
        <v>146</v>
      </c>
    </row>
    <row r="169" spans="1:9" x14ac:dyDescent="0.25">
      <c r="A169" s="27" t="s">
        <v>227</v>
      </c>
      <c r="B169" s="96">
        <f>B167/(24*365)</f>
        <v>2.482876712328767E-2</v>
      </c>
      <c r="C169" s="96">
        <f t="shared" ref="C169:F169" si="69">C167/(24*365)</f>
        <v>4.1422048271363338E-2</v>
      </c>
      <c r="D169" s="96">
        <f t="shared" si="69"/>
        <v>0.15890410958904111</v>
      </c>
      <c r="E169" s="96">
        <f t="shared" si="69"/>
        <v>9.7602739726027399E-2</v>
      </c>
      <c r="F169" s="43">
        <f t="shared" si="69"/>
        <v>2.890337452341778E-2</v>
      </c>
      <c r="G169" s="89"/>
    </row>
    <row r="170" spans="1:9" x14ac:dyDescent="0.25">
      <c r="A170" s="27"/>
      <c r="B170" s="94"/>
      <c r="C170" s="94"/>
      <c r="D170" s="94"/>
      <c r="E170" s="94"/>
      <c r="F170" s="79"/>
      <c r="G170" s="89"/>
    </row>
    <row r="171" spans="1:9" x14ac:dyDescent="0.25">
      <c r="A171" s="27" t="s">
        <v>239</v>
      </c>
      <c r="B171" s="94">
        <v>300</v>
      </c>
      <c r="C171" s="94">
        <v>300</v>
      </c>
      <c r="D171" s="94">
        <v>300</v>
      </c>
      <c r="E171" s="94">
        <v>300</v>
      </c>
      <c r="F171" s="82">
        <f>1000*F173/(F153*F158)</f>
        <v>300</v>
      </c>
      <c r="G171" s="89" t="s">
        <v>236</v>
      </c>
    </row>
    <row r="172" spans="1:9" x14ac:dyDescent="0.25">
      <c r="A172" s="27" t="s">
        <v>240</v>
      </c>
      <c r="B172" s="94">
        <v>200</v>
      </c>
      <c r="C172" s="94">
        <v>75</v>
      </c>
      <c r="D172" s="94">
        <v>50</v>
      </c>
      <c r="E172" s="94">
        <v>50</v>
      </c>
      <c r="F172" s="82">
        <f>1000*F174/(F153*F158)</f>
        <v>164.77184841453982</v>
      </c>
      <c r="G172" s="89" t="s">
        <v>237</v>
      </c>
    </row>
    <row r="173" spans="1:9" x14ac:dyDescent="0.25">
      <c r="A173" s="27" t="s">
        <v>241</v>
      </c>
      <c r="B173" s="35">
        <f>B153*B158*B171/1000</f>
        <v>720</v>
      </c>
      <c r="C173" s="35">
        <f t="shared" ref="C173:E173" si="70">C153*C158*C171/1000</f>
        <v>132.00000000000003</v>
      </c>
      <c r="D173" s="35">
        <f t="shared" si="70"/>
        <v>97.5</v>
      </c>
      <c r="E173" s="35">
        <f t="shared" si="70"/>
        <v>20.25</v>
      </c>
      <c r="F173" s="82">
        <f t="shared" ref="F173:F175" si="71">SUM(B173:E173)</f>
        <v>969.75</v>
      </c>
      <c r="G173" s="89" t="s">
        <v>63</v>
      </c>
    </row>
    <row r="174" spans="1:9" x14ac:dyDescent="0.25">
      <c r="A174" s="27" t="s">
        <v>242</v>
      </c>
      <c r="B174" s="35">
        <f>B153*B158*B172/1000</f>
        <v>480</v>
      </c>
      <c r="C174" s="35">
        <f t="shared" ref="C174:E174" si="72">C153*C158*C172/1000</f>
        <v>33.000000000000007</v>
      </c>
      <c r="D174" s="35">
        <f t="shared" si="72"/>
        <v>16.25</v>
      </c>
      <c r="E174" s="35">
        <f t="shared" si="72"/>
        <v>3.375</v>
      </c>
      <c r="F174" s="82">
        <f t="shared" si="71"/>
        <v>532.625</v>
      </c>
      <c r="G174" s="89" t="s">
        <v>63</v>
      </c>
    </row>
    <row r="175" spans="1:9" x14ac:dyDescent="0.25">
      <c r="A175" s="27" t="s">
        <v>243</v>
      </c>
      <c r="B175" s="18">
        <f>B174*$B$289/100</f>
        <v>19.520607338031866</v>
      </c>
      <c r="C175" s="18">
        <f t="shared" ref="C175:E175" si="73">C174*$B$289/100</f>
        <v>1.3420417544896912</v>
      </c>
      <c r="D175" s="18">
        <f t="shared" si="73"/>
        <v>0.66085389425628716</v>
      </c>
      <c r="E175" s="18">
        <f t="shared" si="73"/>
        <v>0.13725427034553656</v>
      </c>
      <c r="F175" s="78">
        <f t="shared" si="71"/>
        <v>21.660757257123382</v>
      </c>
      <c r="G175" s="89" t="s">
        <v>213</v>
      </c>
    </row>
    <row r="176" spans="1:9" x14ac:dyDescent="0.25">
      <c r="A176" s="27"/>
      <c r="B176" s="18"/>
      <c r="C176" s="18"/>
      <c r="D176" s="18"/>
      <c r="E176" s="18"/>
      <c r="F176" s="78"/>
      <c r="G176" s="89"/>
    </row>
    <row r="177" spans="1:16" x14ac:dyDescent="0.25">
      <c r="A177" s="27" t="s">
        <v>238</v>
      </c>
      <c r="B177" s="18">
        <f>B164-B175</f>
        <v>47.679392661968137</v>
      </c>
      <c r="C177" s="18">
        <f t="shared" ref="C177:E177" si="74">C164-C175</f>
        <v>10.977958245510312</v>
      </c>
      <c r="D177" s="18">
        <f t="shared" si="74"/>
        <v>9.8391461057437155</v>
      </c>
      <c r="E177" s="18">
        <f t="shared" si="74"/>
        <v>1.9627457296544635</v>
      </c>
      <c r="F177" s="78">
        <f>SUM(B177:E177)</f>
        <v>70.459242742876611</v>
      </c>
      <c r="G177" s="89" t="s">
        <v>213</v>
      </c>
    </row>
    <row r="178" spans="1:16" x14ac:dyDescent="0.25">
      <c r="A178" s="27" t="s">
        <v>244</v>
      </c>
      <c r="B178" s="35">
        <f>1000*B177/B153</f>
        <v>1489.9810206865043</v>
      </c>
      <c r="C178" s="35">
        <f t="shared" ref="C178:E178" si="75">1000*C177/C153</f>
        <v>2494.9905103432525</v>
      </c>
      <c r="D178" s="35">
        <f t="shared" si="75"/>
        <v>19678.292211487431</v>
      </c>
      <c r="E178" s="35">
        <f t="shared" si="75"/>
        <v>13084.971531029758</v>
      </c>
      <c r="F178" s="79">
        <f>1000*F177/F153</f>
        <v>1901.733947176157</v>
      </c>
      <c r="G178" s="89" t="s">
        <v>156</v>
      </c>
    </row>
    <row r="179" spans="1:16" x14ac:dyDescent="0.25">
      <c r="A179" s="27" t="s">
        <v>279</v>
      </c>
      <c r="B179" s="35">
        <f>(B154/B156)*$B$289/100</f>
        <v>94.349602133820696</v>
      </c>
      <c r="C179" s="35">
        <f t="shared" ref="C179:E179" si="76">(C154/C156)*$B$289/100</f>
        <v>187.81190393409449</v>
      </c>
      <c r="D179" s="35">
        <f t="shared" si="76"/>
        <v>2021.777188581872</v>
      </c>
      <c r="E179" s="35">
        <f t="shared" si="76"/>
        <v>289.75901517391054</v>
      </c>
      <c r="F179" s="79">
        <f>1000*F180/F153</f>
        <v>132.25133851981917</v>
      </c>
      <c r="G179" s="89" t="s">
        <v>156</v>
      </c>
    </row>
    <row r="180" spans="1:16" x14ac:dyDescent="0.25">
      <c r="A180" s="27" t="s">
        <v>281</v>
      </c>
      <c r="B180" s="59">
        <f>B153*B179/1000</f>
        <v>3.0191872682822622</v>
      </c>
      <c r="C180" s="59">
        <f t="shared" ref="C180:E180" si="77">C153*C179/1000</f>
        <v>0.82637237731001589</v>
      </c>
      <c r="D180" s="59">
        <f t="shared" si="77"/>
        <v>1.010888594290936</v>
      </c>
      <c r="E180" s="59">
        <f t="shared" si="77"/>
        <v>4.3463852276086574E-2</v>
      </c>
      <c r="F180" s="77">
        <f>SUM(B180:E180)</f>
        <v>4.8999120921593002</v>
      </c>
      <c r="G180" s="89" t="s">
        <v>213</v>
      </c>
    </row>
    <row r="181" spans="1:16" x14ac:dyDescent="0.25">
      <c r="A181" s="27"/>
      <c r="B181" s="35"/>
      <c r="C181" s="35"/>
      <c r="D181" s="35"/>
      <c r="E181" s="35"/>
      <c r="F181" s="77"/>
      <c r="G181" s="89"/>
    </row>
    <row r="182" spans="1:16" x14ac:dyDescent="0.25">
      <c r="A182" s="27" t="s">
        <v>278</v>
      </c>
      <c r="B182" s="35">
        <f>B178+B179</f>
        <v>1584.3306228203251</v>
      </c>
      <c r="C182" s="35">
        <f t="shared" ref="C182:E182" si="78">C178+C179</f>
        <v>2682.802414277347</v>
      </c>
      <c r="D182" s="35">
        <f t="shared" si="78"/>
        <v>21700.069400069304</v>
      </c>
      <c r="E182" s="35">
        <f t="shared" si="78"/>
        <v>13374.730546203669</v>
      </c>
      <c r="F182" s="79">
        <f>1000*F183/F153</f>
        <v>2033.9852856959769</v>
      </c>
      <c r="G182" s="89" t="s">
        <v>156</v>
      </c>
    </row>
    <row r="183" spans="1:16" x14ac:dyDescent="0.25">
      <c r="A183" s="27" t="s">
        <v>280</v>
      </c>
      <c r="B183" s="18">
        <f>B153*B182/1000</f>
        <v>50.698579930250403</v>
      </c>
      <c r="C183" s="18">
        <f t="shared" ref="C183:E183" si="79">C153*C182/1000</f>
        <v>11.804330622820327</v>
      </c>
      <c r="D183" s="18">
        <f t="shared" si="79"/>
        <v>10.850034700034652</v>
      </c>
      <c r="E183" s="18">
        <f t="shared" si="79"/>
        <v>2.0062095819305501</v>
      </c>
      <c r="F183" s="78">
        <f>SUM(B183:E183)</f>
        <v>75.359154835035937</v>
      </c>
      <c r="G183" s="89" t="s">
        <v>213</v>
      </c>
    </row>
    <row r="184" spans="1:16" x14ac:dyDescent="0.25">
      <c r="A184" s="27"/>
      <c r="B184" s="35"/>
      <c r="C184" s="35"/>
      <c r="D184" s="35"/>
      <c r="E184" s="35"/>
      <c r="F184" s="79"/>
      <c r="G184" s="89"/>
    </row>
    <row r="185" spans="1:16" x14ac:dyDescent="0.25">
      <c r="A185" s="27" t="s">
        <v>271</v>
      </c>
      <c r="B185" s="35">
        <v>35</v>
      </c>
      <c r="C185" s="35">
        <v>30</v>
      </c>
      <c r="D185" s="35">
        <v>8</v>
      </c>
      <c r="E185" s="35">
        <v>8</v>
      </c>
      <c r="F185" s="82">
        <f>F155/(F187/$B$411)</f>
        <v>28.770986694306483</v>
      </c>
      <c r="G185" s="89" t="s">
        <v>276</v>
      </c>
    </row>
    <row r="186" spans="1:16" x14ac:dyDescent="0.25">
      <c r="A186" s="27" t="s">
        <v>275</v>
      </c>
      <c r="B186" s="35">
        <f>(B154/B185)*$B$411</f>
        <v>1696.5</v>
      </c>
      <c r="C186" s="35">
        <f t="shared" ref="C186:E186" si="80">(C154/C185)*$B$411</f>
        <v>2889.2499999999995</v>
      </c>
      <c r="D186" s="35">
        <f t="shared" si="80"/>
        <v>29688.749999999996</v>
      </c>
      <c r="E186" s="35">
        <f t="shared" si="80"/>
        <v>14588.437499999998</v>
      </c>
      <c r="F186" s="79">
        <f>1000*F187/F153</f>
        <v>2268.1063596491231</v>
      </c>
      <c r="G186" s="89" t="s">
        <v>156</v>
      </c>
    </row>
    <row r="187" spans="1:16" x14ac:dyDescent="0.25">
      <c r="A187" s="27" t="s">
        <v>277</v>
      </c>
      <c r="B187" s="18">
        <f>B153*B186/1000</f>
        <v>54.287999999999997</v>
      </c>
      <c r="C187" s="18">
        <f t="shared" ref="C187:E187" si="81">C153*C186/1000</f>
        <v>12.712699999999998</v>
      </c>
      <c r="D187" s="18">
        <f t="shared" si="81"/>
        <v>14.844374999999998</v>
      </c>
      <c r="E187" s="18">
        <f t="shared" si="81"/>
        <v>2.1882656249999997</v>
      </c>
      <c r="F187" s="78">
        <f>SUM(B187:E187)</f>
        <v>84.033340624999994</v>
      </c>
      <c r="G187" s="89" t="s">
        <v>213</v>
      </c>
    </row>
    <row r="188" spans="1:16" x14ac:dyDescent="0.25">
      <c r="A188" s="27"/>
      <c r="B188" s="35"/>
      <c r="C188" s="35"/>
      <c r="D188" s="35"/>
      <c r="E188" s="35"/>
      <c r="F188" s="79"/>
      <c r="G188" s="89"/>
    </row>
    <row r="189" spans="1:16" x14ac:dyDescent="0.25">
      <c r="A189" s="1"/>
      <c r="B189" s="18"/>
      <c r="C189" s="1"/>
    </row>
    <row r="190" spans="1:16" ht="18.75" x14ac:dyDescent="0.3">
      <c r="A190" s="33" t="s">
        <v>115</v>
      </c>
      <c r="B190" s="28" t="s">
        <v>99</v>
      </c>
      <c r="C190" s="27" t="s">
        <v>100</v>
      </c>
      <c r="D190" s="27" t="s">
        <v>102</v>
      </c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6" x14ac:dyDescent="0.25">
      <c r="A191" s="1"/>
      <c r="B191" s="18"/>
      <c r="C191" s="27" t="s">
        <v>101</v>
      </c>
      <c r="D191" s="27" t="s">
        <v>103</v>
      </c>
      <c r="E191" s="27" t="s">
        <v>104</v>
      </c>
      <c r="F191" s="27" t="s">
        <v>105</v>
      </c>
      <c r="G191" s="27" t="s">
        <v>106</v>
      </c>
      <c r="H191" s="27" t="s">
        <v>107</v>
      </c>
      <c r="I191" s="27" t="s">
        <v>108</v>
      </c>
      <c r="J191" s="27" t="s">
        <v>109</v>
      </c>
      <c r="K191" s="27" t="s">
        <v>110</v>
      </c>
      <c r="L191" s="27" t="s">
        <v>111</v>
      </c>
      <c r="M191" s="27" t="s">
        <v>112</v>
      </c>
      <c r="N191" s="27" t="s">
        <v>113</v>
      </c>
      <c r="O191" s="27" t="s">
        <v>114</v>
      </c>
      <c r="P191" s="27" t="s">
        <v>13</v>
      </c>
    </row>
    <row r="192" spans="1:16" x14ac:dyDescent="0.25">
      <c r="A192" s="27" t="s">
        <v>117</v>
      </c>
      <c r="B192" s="18"/>
      <c r="C192" s="1"/>
    </row>
    <row r="193" spans="1:16" x14ac:dyDescent="0.25">
      <c r="A193" s="25" t="s">
        <v>116</v>
      </c>
      <c r="B193" s="26"/>
      <c r="C193" s="32">
        <v>1</v>
      </c>
      <c r="D193" s="9">
        <v>1.1000000000000001</v>
      </c>
      <c r="E193" s="9">
        <v>1.1000000000000001</v>
      </c>
      <c r="F193" s="9">
        <v>1.05</v>
      </c>
      <c r="G193" s="9">
        <v>1</v>
      </c>
      <c r="H193" s="9">
        <v>0.95</v>
      </c>
      <c r="I193" s="9">
        <v>0.9</v>
      </c>
      <c r="J193" s="9">
        <v>0.9</v>
      </c>
      <c r="K193" s="9">
        <v>0.9</v>
      </c>
      <c r="L193" s="9">
        <v>0.95</v>
      </c>
      <c r="M193" s="9">
        <v>1</v>
      </c>
      <c r="N193" s="9">
        <v>1.05</v>
      </c>
      <c r="O193" s="9">
        <v>1.1000000000000001</v>
      </c>
    </row>
    <row r="194" spans="1:16" x14ac:dyDescent="0.25">
      <c r="A194" s="25" t="s">
        <v>118</v>
      </c>
      <c r="B194" s="26">
        <f>G80</f>
        <v>103.8856</v>
      </c>
      <c r="C194" s="31">
        <f>B194/12</f>
        <v>8.6571333333333325</v>
      </c>
      <c r="D194" s="7">
        <f>$C194*D193</f>
        <v>9.5228466666666662</v>
      </c>
      <c r="E194" s="7">
        <f t="shared" ref="E194:O194" si="82">$C194*E193</f>
        <v>9.5228466666666662</v>
      </c>
      <c r="F194" s="7">
        <f t="shared" si="82"/>
        <v>9.0899900000000002</v>
      </c>
      <c r="G194" s="7">
        <f t="shared" si="82"/>
        <v>8.6571333333333325</v>
      </c>
      <c r="H194" s="7">
        <f t="shared" si="82"/>
        <v>8.2242766666666647</v>
      </c>
      <c r="I194" s="7">
        <f t="shared" si="82"/>
        <v>7.7914199999999996</v>
      </c>
      <c r="J194" s="7">
        <f t="shared" si="82"/>
        <v>7.7914199999999996</v>
      </c>
      <c r="K194" s="7">
        <f t="shared" si="82"/>
        <v>7.7914199999999996</v>
      </c>
      <c r="L194" s="7">
        <f t="shared" si="82"/>
        <v>8.2242766666666647</v>
      </c>
      <c r="M194" s="7">
        <f t="shared" si="82"/>
        <v>8.6571333333333325</v>
      </c>
      <c r="N194" s="7">
        <f t="shared" si="82"/>
        <v>9.0899900000000002</v>
      </c>
      <c r="O194" s="7">
        <f t="shared" si="82"/>
        <v>9.5228466666666662</v>
      </c>
      <c r="P194" s="16">
        <f>SUM(D194:O194)</f>
        <v>103.88560000000001</v>
      </c>
    </row>
    <row r="195" spans="1:16" x14ac:dyDescent="0.25">
      <c r="A195" s="1"/>
      <c r="B195" s="18"/>
      <c r="C195" s="1"/>
    </row>
    <row r="196" spans="1:16" x14ac:dyDescent="0.25">
      <c r="A196" s="27" t="s">
        <v>119</v>
      </c>
      <c r="B196" s="18"/>
      <c r="C196" s="1"/>
    </row>
    <row r="197" spans="1:16" x14ac:dyDescent="0.25">
      <c r="A197" s="25" t="s">
        <v>116</v>
      </c>
      <c r="B197" s="26"/>
      <c r="C197" s="32">
        <v>1</v>
      </c>
      <c r="D197" s="8">
        <v>1.05</v>
      </c>
      <c r="E197" s="8">
        <v>1.05</v>
      </c>
      <c r="F197" s="8">
        <v>1.0249999999999999</v>
      </c>
      <c r="G197" s="8">
        <v>1</v>
      </c>
      <c r="H197" s="8">
        <v>0.97499999999999998</v>
      </c>
      <c r="I197" s="8">
        <v>0.95</v>
      </c>
      <c r="J197" s="8">
        <v>0.95</v>
      </c>
      <c r="K197" s="8">
        <v>0.95</v>
      </c>
      <c r="L197" s="8">
        <v>0.97499999999999998</v>
      </c>
      <c r="M197" s="8">
        <v>1</v>
      </c>
      <c r="N197" s="8">
        <v>1.0249999999999999</v>
      </c>
      <c r="O197" s="9">
        <v>1.05</v>
      </c>
    </row>
    <row r="198" spans="1:16" x14ac:dyDescent="0.25">
      <c r="A198" s="25" t="s">
        <v>118</v>
      </c>
      <c r="B198" s="26">
        <f>G112</f>
        <v>191.97470000000001</v>
      </c>
      <c r="C198" s="31">
        <f>B198/12</f>
        <v>15.997891666666668</v>
      </c>
      <c r="D198" s="7">
        <f t="shared" ref="D198:O198" si="83">$C198*D197</f>
        <v>16.797786250000001</v>
      </c>
      <c r="E198" s="7">
        <f t="shared" si="83"/>
        <v>16.797786250000001</v>
      </c>
      <c r="F198" s="7">
        <f t="shared" si="83"/>
        <v>16.397838958333335</v>
      </c>
      <c r="G198" s="7">
        <f t="shared" si="83"/>
        <v>15.997891666666668</v>
      </c>
      <c r="H198" s="7">
        <f t="shared" si="83"/>
        <v>15.597944375000001</v>
      </c>
      <c r="I198" s="7">
        <f t="shared" si="83"/>
        <v>15.197997083333334</v>
      </c>
      <c r="J198" s="7">
        <f t="shared" si="83"/>
        <v>15.197997083333334</v>
      </c>
      <c r="K198" s="7">
        <f t="shared" si="83"/>
        <v>15.197997083333334</v>
      </c>
      <c r="L198" s="7">
        <f t="shared" si="83"/>
        <v>15.597944375000001</v>
      </c>
      <c r="M198" s="7">
        <f t="shared" si="83"/>
        <v>15.997891666666668</v>
      </c>
      <c r="N198" s="7">
        <f t="shared" si="83"/>
        <v>16.397838958333335</v>
      </c>
      <c r="O198" s="7">
        <f t="shared" si="83"/>
        <v>16.797786250000001</v>
      </c>
      <c r="P198" s="16">
        <f>SUM(D198:O198)</f>
        <v>191.97470000000001</v>
      </c>
    </row>
    <row r="199" spans="1:16" x14ac:dyDescent="0.25">
      <c r="A199" s="1"/>
      <c r="B199" s="18"/>
      <c r="C199" s="1"/>
    </row>
    <row r="200" spans="1:16" x14ac:dyDescent="0.25">
      <c r="A200" s="27" t="s">
        <v>123</v>
      </c>
      <c r="B200" s="18"/>
      <c r="C200" s="1"/>
    </row>
    <row r="201" spans="1:16" x14ac:dyDescent="0.25">
      <c r="A201" s="25" t="s">
        <v>116</v>
      </c>
      <c r="B201" s="26"/>
      <c r="C201" s="32">
        <v>1</v>
      </c>
      <c r="D201" s="8">
        <v>2</v>
      </c>
      <c r="E201" s="8">
        <v>1.8</v>
      </c>
      <c r="F201" s="8">
        <v>1.5</v>
      </c>
      <c r="G201" s="8">
        <v>0.9</v>
      </c>
      <c r="H201" s="8">
        <v>0.45</v>
      </c>
      <c r="I201" s="8">
        <v>0.27500000000000002</v>
      </c>
      <c r="J201" s="8">
        <v>0.125</v>
      </c>
      <c r="K201" s="8">
        <v>0.3</v>
      </c>
      <c r="L201" s="8">
        <v>0.45</v>
      </c>
      <c r="M201" s="8">
        <v>0.9</v>
      </c>
      <c r="N201" s="8">
        <v>1.5</v>
      </c>
      <c r="O201" s="9">
        <v>1.8</v>
      </c>
    </row>
    <row r="202" spans="1:16" x14ac:dyDescent="0.25">
      <c r="A202" s="25" t="s">
        <v>118</v>
      </c>
      <c r="B202" s="26">
        <f>G36+G103</f>
        <v>109.92026666666666</v>
      </c>
      <c r="C202" s="31">
        <f>B202/12</f>
        <v>9.1600222222222225</v>
      </c>
      <c r="D202" s="7">
        <f t="shared" ref="D202:O202" si="84">$C202*D201</f>
        <v>18.320044444444445</v>
      </c>
      <c r="E202" s="7">
        <f t="shared" si="84"/>
        <v>16.488040000000002</v>
      </c>
      <c r="F202" s="7">
        <f t="shared" si="84"/>
        <v>13.740033333333333</v>
      </c>
      <c r="G202" s="7">
        <f t="shared" si="84"/>
        <v>8.2440200000000008</v>
      </c>
      <c r="H202" s="7">
        <f t="shared" si="84"/>
        <v>4.1220100000000004</v>
      </c>
      <c r="I202" s="7">
        <f t="shared" si="84"/>
        <v>2.5190061111111115</v>
      </c>
      <c r="J202" s="7">
        <f t="shared" si="84"/>
        <v>1.1450027777777778</v>
      </c>
      <c r="K202" s="7">
        <f t="shared" si="84"/>
        <v>2.7480066666666665</v>
      </c>
      <c r="L202" s="7">
        <f t="shared" si="84"/>
        <v>4.1220100000000004</v>
      </c>
      <c r="M202" s="7">
        <f t="shared" si="84"/>
        <v>8.2440200000000008</v>
      </c>
      <c r="N202" s="7">
        <f t="shared" si="84"/>
        <v>13.740033333333333</v>
      </c>
      <c r="O202" s="7">
        <f t="shared" si="84"/>
        <v>16.488040000000002</v>
      </c>
      <c r="P202" s="16">
        <f>SUM(D202:O202)</f>
        <v>109.92026666666668</v>
      </c>
    </row>
    <row r="203" spans="1:16" x14ac:dyDescent="0.25">
      <c r="A203" s="1"/>
      <c r="B203" s="18"/>
      <c r="C203" s="1"/>
    </row>
    <row r="204" spans="1:16" x14ac:dyDescent="0.25">
      <c r="A204" s="27" t="s">
        <v>85</v>
      </c>
      <c r="B204" s="18"/>
      <c r="C204" s="1"/>
    </row>
    <row r="205" spans="1:16" x14ac:dyDescent="0.25">
      <c r="A205" s="25" t="s">
        <v>116</v>
      </c>
      <c r="B205" s="26"/>
      <c r="C205" s="32">
        <v>1</v>
      </c>
      <c r="D205" s="8">
        <v>0.95</v>
      </c>
      <c r="E205" s="8">
        <v>0.95</v>
      </c>
      <c r="F205" s="8">
        <v>0.97499999999999998</v>
      </c>
      <c r="G205" s="8">
        <v>1</v>
      </c>
      <c r="H205" s="8">
        <v>1.0249999999999999</v>
      </c>
      <c r="I205" s="8">
        <v>1.05</v>
      </c>
      <c r="J205" s="8">
        <v>1.05</v>
      </c>
      <c r="K205" s="8">
        <v>1.05</v>
      </c>
      <c r="L205" s="8">
        <v>1.0249999999999999</v>
      </c>
      <c r="M205" s="8">
        <v>1</v>
      </c>
      <c r="N205" s="8">
        <v>0.97499999999999998</v>
      </c>
      <c r="O205" s="9">
        <v>0.95</v>
      </c>
    </row>
    <row r="206" spans="1:16" x14ac:dyDescent="0.25">
      <c r="A206" s="25" t="s">
        <v>118</v>
      </c>
      <c r="B206" s="26">
        <f>F157</f>
        <v>120.48589285714286</v>
      </c>
      <c r="C206" s="31">
        <f>B206/12</f>
        <v>10.040491071428571</v>
      </c>
      <c r="D206" s="7">
        <f t="shared" ref="D206" si="85">$C206*D205</f>
        <v>9.5384665178571417</v>
      </c>
      <c r="E206" s="7">
        <f t="shared" ref="E206" si="86">$C206*E205</f>
        <v>9.5384665178571417</v>
      </c>
      <c r="F206" s="7">
        <f t="shared" ref="F206" si="87">$C206*F205</f>
        <v>9.7894787946428572</v>
      </c>
      <c r="G206" s="7">
        <f t="shared" ref="G206" si="88">$C206*G205</f>
        <v>10.040491071428571</v>
      </c>
      <c r="H206" s="7">
        <f t="shared" ref="H206" si="89">$C206*H205</f>
        <v>10.291503348214285</v>
      </c>
      <c r="I206" s="7">
        <f t="shared" ref="I206" si="90">$C206*I205</f>
        <v>10.542515625</v>
      </c>
      <c r="J206" s="7">
        <f t="shared" ref="J206" si="91">$C206*J205</f>
        <v>10.542515625</v>
      </c>
      <c r="K206" s="7">
        <f t="shared" ref="K206" si="92">$C206*K205</f>
        <v>10.542515625</v>
      </c>
      <c r="L206" s="7">
        <f t="shared" ref="L206" si="93">$C206*L205</f>
        <v>10.291503348214285</v>
      </c>
      <c r="M206" s="7">
        <f t="shared" ref="M206" si="94">$C206*M205</f>
        <v>10.040491071428571</v>
      </c>
      <c r="N206" s="7">
        <f t="shared" ref="N206" si="95">$C206*N205</f>
        <v>9.7894787946428572</v>
      </c>
      <c r="O206" s="7">
        <f t="shared" ref="O206" si="96">$C206*O205</f>
        <v>9.5384665178571417</v>
      </c>
      <c r="P206" s="16">
        <f>SUM(D206:O206)</f>
        <v>120.48589285714286</v>
      </c>
    </row>
    <row r="207" spans="1:16" x14ac:dyDescent="0.25">
      <c r="A207" s="1"/>
      <c r="B207" s="18"/>
      <c r="C207" s="1"/>
    </row>
    <row r="208" spans="1:16" x14ac:dyDescent="0.25">
      <c r="A208" s="27" t="s">
        <v>208</v>
      </c>
      <c r="B208" s="18">
        <f>SUM(B194+B198+B202+B206)</f>
        <v>526.26645952380954</v>
      </c>
      <c r="C208" s="18">
        <f t="shared" ref="C208:P208" si="97">SUM(C194+C198+C202+C206)</f>
        <v>43.855538293650795</v>
      </c>
      <c r="D208" s="18">
        <f t="shared" si="97"/>
        <v>54.179143878968262</v>
      </c>
      <c r="E208" s="18">
        <f t="shared" si="97"/>
        <v>52.347139434523811</v>
      </c>
      <c r="F208" s="18">
        <f t="shared" si="97"/>
        <v>49.017341086309528</v>
      </c>
      <c r="G208" s="18">
        <f t="shared" si="97"/>
        <v>42.93953607142857</v>
      </c>
      <c r="H208" s="18">
        <f t="shared" si="97"/>
        <v>38.235734389880946</v>
      </c>
      <c r="I208" s="18">
        <f t="shared" si="97"/>
        <v>36.05093881944444</v>
      </c>
      <c r="J208" s="18">
        <f t="shared" si="97"/>
        <v>34.676935486111105</v>
      </c>
      <c r="K208" s="18">
        <f t="shared" si="97"/>
        <v>36.279939374999998</v>
      </c>
      <c r="L208" s="18">
        <f t="shared" si="97"/>
        <v>38.235734389880946</v>
      </c>
      <c r="M208" s="18">
        <f t="shared" si="97"/>
        <v>42.93953607142857</v>
      </c>
      <c r="N208" s="18">
        <f t="shared" si="97"/>
        <v>49.017341086309528</v>
      </c>
      <c r="O208" s="18">
        <f t="shared" si="97"/>
        <v>52.347139434523811</v>
      </c>
      <c r="P208" s="18">
        <f t="shared" si="97"/>
        <v>526.26645952380954</v>
      </c>
    </row>
    <row r="209" spans="1:16" x14ac:dyDescent="0.25">
      <c r="A209" s="2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 ht="18.75" x14ac:dyDescent="0.3">
      <c r="A210" s="33" t="s">
        <v>124</v>
      </c>
      <c r="B210" s="28" t="s">
        <v>99</v>
      </c>
      <c r="C210" s="27" t="s">
        <v>100</v>
      </c>
      <c r="D210" s="27" t="s">
        <v>102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6" ht="18.75" x14ac:dyDescent="0.3">
      <c r="A211" s="33"/>
      <c r="B211" s="18"/>
      <c r="C211" s="27" t="s">
        <v>101</v>
      </c>
      <c r="D211" s="27" t="s">
        <v>103</v>
      </c>
      <c r="E211" s="27" t="s">
        <v>104</v>
      </c>
      <c r="F211" s="27" t="s">
        <v>105</v>
      </c>
      <c r="G211" s="27" t="s">
        <v>106</v>
      </c>
      <c r="H211" s="27" t="s">
        <v>107</v>
      </c>
      <c r="I211" s="27" t="s">
        <v>108</v>
      </c>
      <c r="J211" s="27" t="s">
        <v>109</v>
      </c>
      <c r="K211" s="27" t="s">
        <v>110</v>
      </c>
      <c r="L211" s="27" t="s">
        <v>111</v>
      </c>
      <c r="M211" s="27" t="s">
        <v>112</v>
      </c>
      <c r="N211" s="27" t="s">
        <v>113</v>
      </c>
      <c r="O211" s="27" t="s">
        <v>114</v>
      </c>
      <c r="P211" s="27" t="s">
        <v>13</v>
      </c>
    </row>
    <row r="212" spans="1:16" x14ac:dyDescent="0.25">
      <c r="A212" s="25" t="s">
        <v>126</v>
      </c>
      <c r="B212" s="26"/>
      <c r="C212" s="32">
        <v>1</v>
      </c>
      <c r="D212" s="8">
        <v>0.4</v>
      </c>
      <c r="E212" s="8">
        <v>0.52500000000000002</v>
      </c>
      <c r="F212" s="8">
        <v>1.0249999999999999</v>
      </c>
      <c r="G212" s="8">
        <v>1.375</v>
      </c>
      <c r="H212" s="8">
        <v>1.5</v>
      </c>
      <c r="I212" s="8">
        <v>1.575</v>
      </c>
      <c r="J212" s="8">
        <v>1.6</v>
      </c>
      <c r="K212" s="8">
        <v>1.35</v>
      </c>
      <c r="L212" s="8">
        <v>1.1000000000000001</v>
      </c>
      <c r="M212" s="8">
        <v>0.75</v>
      </c>
      <c r="N212" s="8">
        <v>0.45</v>
      </c>
      <c r="O212" s="9">
        <v>0.35</v>
      </c>
      <c r="P212" s="27"/>
    </row>
    <row r="213" spans="1:16" x14ac:dyDescent="0.25">
      <c r="A213" s="27" t="s">
        <v>125</v>
      </c>
      <c r="B213" s="21">
        <f>B148/B147</f>
        <v>0.82826166523640543</v>
      </c>
      <c r="C213" s="21">
        <f>B213/12</f>
        <v>6.9021805436367115E-2</v>
      </c>
      <c r="D213" s="21">
        <f>$C213*D212</f>
        <v>2.7608722174546848E-2</v>
      </c>
      <c r="E213" s="21">
        <f t="shared" ref="E213:O213" si="98">$C213*E212</f>
        <v>3.6236447854092739E-2</v>
      </c>
      <c r="F213" s="21">
        <f t="shared" si="98"/>
        <v>7.0747350572276282E-2</v>
      </c>
      <c r="G213" s="21">
        <f t="shared" si="98"/>
        <v>9.4904982475004784E-2</v>
      </c>
      <c r="H213" s="21">
        <f t="shared" si="98"/>
        <v>0.10353270815455068</v>
      </c>
      <c r="I213" s="21">
        <f t="shared" si="98"/>
        <v>0.1087093435622782</v>
      </c>
      <c r="J213" s="21">
        <f t="shared" si="98"/>
        <v>0.11043488869818739</v>
      </c>
      <c r="K213" s="21">
        <f t="shared" si="98"/>
        <v>9.3179437339095617E-2</v>
      </c>
      <c r="L213" s="21">
        <f t="shared" si="98"/>
        <v>7.5923985980003827E-2</v>
      </c>
      <c r="M213" s="21">
        <f t="shared" si="98"/>
        <v>5.1766354077275339E-2</v>
      </c>
      <c r="N213" s="21">
        <f t="shared" si="98"/>
        <v>3.1059812446365201E-2</v>
      </c>
      <c r="O213" s="21">
        <f t="shared" si="98"/>
        <v>2.4157631902728488E-2</v>
      </c>
      <c r="P213" s="21">
        <f>SUM(D213:O213)</f>
        <v>0.82826166523640543</v>
      </c>
    </row>
    <row r="214" spans="1:16" x14ac:dyDescent="0.25">
      <c r="A214" s="2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1:16" x14ac:dyDescent="0.25">
      <c r="A215" s="25" t="s">
        <v>127</v>
      </c>
      <c r="B215" s="26"/>
      <c r="C215" s="32">
        <v>1</v>
      </c>
      <c r="D215" s="8">
        <v>1.25</v>
      </c>
      <c r="E215" s="8">
        <v>1.25</v>
      </c>
      <c r="F215" s="8">
        <v>1.1000000000000001</v>
      </c>
      <c r="G215" s="8">
        <v>1</v>
      </c>
      <c r="H215" s="8">
        <v>0.9</v>
      </c>
      <c r="I215" s="8">
        <v>0.75</v>
      </c>
      <c r="J215" s="8">
        <v>0.75</v>
      </c>
      <c r="K215" s="8">
        <v>0.75</v>
      </c>
      <c r="L215" s="8">
        <v>0.9</v>
      </c>
      <c r="M215" s="8">
        <v>1</v>
      </c>
      <c r="N215" s="8">
        <v>1.1000000000000001</v>
      </c>
      <c r="O215" s="9">
        <v>1.25</v>
      </c>
      <c r="P215" s="27"/>
    </row>
    <row r="216" spans="1:16" x14ac:dyDescent="0.25">
      <c r="A216" s="27" t="s">
        <v>128</v>
      </c>
      <c r="B216" s="21">
        <f>24*365*B380/1000</f>
        <v>2.6280000000000001</v>
      </c>
      <c r="C216" s="21">
        <f>B216/12</f>
        <v>0.219</v>
      </c>
      <c r="D216" s="21">
        <f>$C216*D215</f>
        <v>0.27374999999999999</v>
      </c>
      <c r="E216" s="21">
        <f t="shared" ref="E216" si="99">$C216*E215</f>
        <v>0.27374999999999999</v>
      </c>
      <c r="F216" s="21">
        <f t="shared" ref="F216" si="100">$C216*F215</f>
        <v>0.24090000000000003</v>
      </c>
      <c r="G216" s="21">
        <f t="shared" ref="G216" si="101">$C216*G215</f>
        <v>0.219</v>
      </c>
      <c r="H216" s="21">
        <f t="shared" ref="H216" si="102">$C216*H215</f>
        <v>0.1971</v>
      </c>
      <c r="I216" s="21">
        <f t="shared" ref="I216" si="103">$C216*I215</f>
        <v>0.16425000000000001</v>
      </c>
      <c r="J216" s="21">
        <f t="shared" ref="J216" si="104">$C216*J215</f>
        <v>0.16425000000000001</v>
      </c>
      <c r="K216" s="21">
        <f t="shared" ref="K216" si="105">$C216*K215</f>
        <v>0.16425000000000001</v>
      </c>
      <c r="L216" s="21">
        <f t="shared" ref="L216" si="106">$C216*L215</f>
        <v>0.1971</v>
      </c>
      <c r="M216" s="21">
        <f t="shared" ref="M216" si="107">$C216*M215</f>
        <v>0.219</v>
      </c>
      <c r="N216" s="21">
        <f t="shared" ref="N216" si="108">$C216*N215</f>
        <v>0.24090000000000003</v>
      </c>
      <c r="O216" s="21">
        <f t="shared" ref="O216" si="109">$C216*O215</f>
        <v>0.27374999999999999</v>
      </c>
      <c r="P216" s="21">
        <f>SUM(D216:O216)</f>
        <v>2.6280000000000001</v>
      </c>
    </row>
    <row r="217" spans="1:16" x14ac:dyDescent="0.25">
      <c r="A217" s="2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1:16" x14ac:dyDescent="0.25">
      <c r="A218" s="25" t="s">
        <v>126</v>
      </c>
      <c r="B218" s="26"/>
      <c r="C218" s="32">
        <v>1</v>
      </c>
      <c r="D218" s="8">
        <v>0.4</v>
      </c>
      <c r="E218" s="8">
        <v>0.52500000000000002</v>
      </c>
      <c r="F218" s="8">
        <v>1.0249999999999999</v>
      </c>
      <c r="G218" s="8">
        <v>1.375</v>
      </c>
      <c r="H218" s="8">
        <v>1.5</v>
      </c>
      <c r="I218" s="8">
        <v>1.575</v>
      </c>
      <c r="J218" s="8">
        <v>1.6</v>
      </c>
      <c r="K218" s="8">
        <v>1.35</v>
      </c>
      <c r="L218" s="8">
        <v>1.1000000000000001</v>
      </c>
      <c r="M218" s="8">
        <v>0.75</v>
      </c>
      <c r="N218" s="8">
        <v>0.45</v>
      </c>
      <c r="O218" s="9">
        <v>0.35</v>
      </c>
      <c r="P218" s="27"/>
    </row>
    <row r="219" spans="1:16" x14ac:dyDescent="0.25">
      <c r="A219" s="27" t="s">
        <v>197</v>
      </c>
      <c r="B219" s="18">
        <v>7</v>
      </c>
      <c r="C219" s="18">
        <f>B219/12</f>
        <v>0.58333333333333337</v>
      </c>
      <c r="D219" s="18">
        <f>$C219*D218</f>
        <v>0.23333333333333336</v>
      </c>
      <c r="E219" s="18">
        <f t="shared" ref="E219" si="110">$C219*E218</f>
        <v>0.30625000000000002</v>
      </c>
      <c r="F219" s="18">
        <f t="shared" ref="F219" si="111">$C219*F218</f>
        <v>0.59791666666666665</v>
      </c>
      <c r="G219" s="18">
        <f t="shared" ref="G219" si="112">$C219*G218</f>
        <v>0.80208333333333337</v>
      </c>
      <c r="H219" s="18">
        <f t="shared" ref="H219" si="113">$C219*H218</f>
        <v>0.875</v>
      </c>
      <c r="I219" s="18">
        <f t="shared" ref="I219" si="114">$C219*I218</f>
        <v>0.91875000000000007</v>
      </c>
      <c r="J219" s="18">
        <f t="shared" ref="J219" si="115">$C219*J218</f>
        <v>0.93333333333333346</v>
      </c>
      <c r="K219" s="18">
        <f t="shared" ref="K219" si="116">$C219*K218</f>
        <v>0.78750000000000009</v>
      </c>
      <c r="L219" s="18">
        <f t="shared" ref="L219" si="117">$C219*L218</f>
        <v>0.64166666666666672</v>
      </c>
      <c r="M219" s="18">
        <f t="shared" ref="M219" si="118">$C219*M218</f>
        <v>0.4375</v>
      </c>
      <c r="N219" s="18">
        <f t="shared" ref="N219" si="119">$C219*N218</f>
        <v>0.26250000000000001</v>
      </c>
      <c r="O219" s="18">
        <f t="shared" ref="O219" si="120">$C219*O218</f>
        <v>0.20416666666666666</v>
      </c>
      <c r="P219" s="18">
        <f>SUM(D219:O219)</f>
        <v>7.0000000000000009</v>
      </c>
    </row>
    <row r="220" spans="1:16" x14ac:dyDescent="0.25">
      <c r="A220" s="2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1:16" x14ac:dyDescent="0.25">
      <c r="A221" s="25" t="s">
        <v>126</v>
      </c>
      <c r="B221" s="26"/>
      <c r="C221" s="32">
        <v>1</v>
      </c>
      <c r="D221" s="8">
        <v>0.4</v>
      </c>
      <c r="E221" s="8">
        <v>0.52500000000000002</v>
      </c>
      <c r="F221" s="8">
        <v>1.0249999999999999</v>
      </c>
      <c r="G221" s="8">
        <v>1.375</v>
      </c>
      <c r="H221" s="8">
        <v>1.5</v>
      </c>
      <c r="I221" s="8">
        <v>1.575</v>
      </c>
      <c r="J221" s="8">
        <v>1.6</v>
      </c>
      <c r="K221" s="8">
        <v>1.35</v>
      </c>
      <c r="L221" s="8">
        <v>1.1000000000000001</v>
      </c>
      <c r="M221" s="8">
        <v>0.75</v>
      </c>
      <c r="N221" s="8">
        <v>0.45</v>
      </c>
      <c r="O221" s="9">
        <v>0.35</v>
      </c>
      <c r="P221" s="27"/>
    </row>
    <row r="222" spans="1:16" x14ac:dyDescent="0.25">
      <c r="A222" s="27" t="s">
        <v>198</v>
      </c>
      <c r="B222" s="18">
        <v>6</v>
      </c>
      <c r="C222" s="18">
        <f>B222/12</f>
        <v>0.5</v>
      </c>
      <c r="D222" s="18">
        <f>$C222*D221</f>
        <v>0.2</v>
      </c>
      <c r="E222" s="18">
        <f t="shared" ref="E222:O222" si="121">$C222*E221</f>
        <v>0.26250000000000001</v>
      </c>
      <c r="F222" s="18">
        <f t="shared" si="121"/>
        <v>0.51249999999999996</v>
      </c>
      <c r="G222" s="18">
        <f t="shared" si="121"/>
        <v>0.6875</v>
      </c>
      <c r="H222" s="18">
        <f t="shared" si="121"/>
        <v>0.75</v>
      </c>
      <c r="I222" s="18">
        <f t="shared" si="121"/>
        <v>0.78749999999999998</v>
      </c>
      <c r="J222" s="18">
        <f t="shared" si="121"/>
        <v>0.8</v>
      </c>
      <c r="K222" s="18">
        <f t="shared" si="121"/>
        <v>0.67500000000000004</v>
      </c>
      <c r="L222" s="18">
        <f t="shared" si="121"/>
        <v>0.55000000000000004</v>
      </c>
      <c r="M222" s="18">
        <f t="shared" si="121"/>
        <v>0.375</v>
      </c>
      <c r="N222" s="18">
        <f t="shared" si="121"/>
        <v>0.22500000000000001</v>
      </c>
      <c r="O222" s="18">
        <f t="shared" si="121"/>
        <v>0.17499999999999999</v>
      </c>
      <c r="P222" s="18">
        <f>SUM(D222:O222)</f>
        <v>5.9999999999999991</v>
      </c>
    </row>
    <row r="223" spans="1:16" x14ac:dyDescent="0.25">
      <c r="A223" s="2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1:16" x14ac:dyDescent="0.25">
      <c r="A224" s="25" t="s">
        <v>129</v>
      </c>
      <c r="B224" s="26"/>
      <c r="C224" s="32">
        <v>1</v>
      </c>
      <c r="D224" s="8">
        <v>1.25</v>
      </c>
      <c r="E224" s="8">
        <v>1.25</v>
      </c>
      <c r="F224" s="8">
        <v>1.1000000000000001</v>
      </c>
      <c r="G224" s="8">
        <v>1</v>
      </c>
      <c r="H224" s="8">
        <v>0.9</v>
      </c>
      <c r="I224" s="8">
        <v>0.75</v>
      </c>
      <c r="J224" s="8">
        <v>0.75</v>
      </c>
      <c r="K224" s="8">
        <v>0.75</v>
      </c>
      <c r="L224" s="8">
        <v>0.9</v>
      </c>
      <c r="M224" s="8">
        <v>1</v>
      </c>
      <c r="N224" s="8">
        <v>1.1000000000000001</v>
      </c>
      <c r="O224" s="9">
        <v>1.25</v>
      </c>
      <c r="P224" s="27"/>
    </row>
    <row r="225" spans="1:16" x14ac:dyDescent="0.25">
      <c r="A225" s="27" t="s">
        <v>199</v>
      </c>
      <c r="B225" s="18">
        <v>35</v>
      </c>
      <c r="C225" s="18">
        <f>B225/12</f>
        <v>2.9166666666666665</v>
      </c>
      <c r="D225" s="18">
        <f>$C225*D224</f>
        <v>3.645833333333333</v>
      </c>
      <c r="E225" s="18">
        <f t="shared" ref="E225" si="122">$C225*E224</f>
        <v>3.645833333333333</v>
      </c>
      <c r="F225" s="18">
        <f t="shared" ref="F225" si="123">$C225*F224</f>
        <v>3.2083333333333335</v>
      </c>
      <c r="G225" s="18">
        <f t="shared" ref="G225" si="124">$C225*G224</f>
        <v>2.9166666666666665</v>
      </c>
      <c r="H225" s="18">
        <f t="shared" ref="H225" si="125">$C225*H224</f>
        <v>2.625</v>
      </c>
      <c r="I225" s="18">
        <f t="shared" ref="I225" si="126">$C225*I224</f>
        <v>2.1875</v>
      </c>
      <c r="J225" s="18">
        <f t="shared" ref="J225" si="127">$C225*J224</f>
        <v>2.1875</v>
      </c>
      <c r="K225" s="18">
        <f t="shared" ref="K225" si="128">$C225*K224</f>
        <v>2.1875</v>
      </c>
      <c r="L225" s="18">
        <f t="shared" ref="L225" si="129">$C225*L224</f>
        <v>2.625</v>
      </c>
      <c r="M225" s="18">
        <f t="shared" ref="M225" si="130">$C225*M224</f>
        <v>2.9166666666666665</v>
      </c>
      <c r="N225" s="18">
        <f t="shared" ref="N225" si="131">$C225*N224</f>
        <v>3.2083333333333335</v>
      </c>
      <c r="O225" s="18">
        <f t="shared" ref="O225" si="132">$C225*O224</f>
        <v>3.645833333333333</v>
      </c>
      <c r="P225" s="18">
        <f>SUM(D225:O225)</f>
        <v>35</v>
      </c>
    </row>
    <row r="226" spans="1:16" x14ac:dyDescent="0.25">
      <c r="A226" s="2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1:16" x14ac:dyDescent="0.25">
      <c r="A227" s="25" t="s">
        <v>130</v>
      </c>
      <c r="B227" s="26"/>
      <c r="C227" s="32">
        <v>1</v>
      </c>
      <c r="D227" s="8">
        <v>1.25</v>
      </c>
      <c r="E227" s="8">
        <v>1.25</v>
      </c>
      <c r="F227" s="8">
        <v>1.1000000000000001</v>
      </c>
      <c r="G227" s="8">
        <v>1</v>
      </c>
      <c r="H227" s="8">
        <v>0.9</v>
      </c>
      <c r="I227" s="8">
        <v>0.75</v>
      </c>
      <c r="J227" s="8">
        <v>0.75</v>
      </c>
      <c r="K227" s="8">
        <v>0.75</v>
      </c>
      <c r="L227" s="8">
        <v>0.9</v>
      </c>
      <c r="M227" s="8">
        <v>1</v>
      </c>
      <c r="N227" s="8">
        <v>1.1000000000000001</v>
      </c>
      <c r="O227" s="9">
        <v>1.25</v>
      </c>
      <c r="P227" s="27"/>
    </row>
    <row r="228" spans="1:16" x14ac:dyDescent="0.25">
      <c r="A228" s="27" t="s">
        <v>200</v>
      </c>
      <c r="B228" s="18">
        <v>41</v>
      </c>
      <c r="C228" s="18">
        <f>B228/12</f>
        <v>3.4166666666666665</v>
      </c>
      <c r="D228" s="18">
        <f>$C228*D227</f>
        <v>4.270833333333333</v>
      </c>
      <c r="E228" s="18">
        <f t="shared" ref="E228" si="133">$C228*E227</f>
        <v>4.270833333333333</v>
      </c>
      <c r="F228" s="18">
        <f t="shared" ref="F228" si="134">$C228*F227</f>
        <v>3.7583333333333333</v>
      </c>
      <c r="G228" s="18">
        <f t="shared" ref="G228" si="135">$C228*G227</f>
        <v>3.4166666666666665</v>
      </c>
      <c r="H228" s="18">
        <f t="shared" ref="H228" si="136">$C228*H227</f>
        <v>3.0749999999999997</v>
      </c>
      <c r="I228" s="18">
        <f t="shared" ref="I228" si="137">$C228*I227</f>
        <v>2.5625</v>
      </c>
      <c r="J228" s="18">
        <f t="shared" ref="J228" si="138">$C228*J227</f>
        <v>2.5625</v>
      </c>
      <c r="K228" s="18">
        <f t="shared" ref="K228" si="139">$C228*K227</f>
        <v>2.5625</v>
      </c>
      <c r="L228" s="18">
        <f t="shared" ref="L228" si="140">$C228*L227</f>
        <v>3.0749999999999997</v>
      </c>
      <c r="M228" s="18">
        <f t="shared" ref="M228" si="141">$C228*M227</f>
        <v>3.4166666666666665</v>
      </c>
      <c r="N228" s="18">
        <f t="shared" ref="N228" si="142">$C228*N227</f>
        <v>3.7583333333333333</v>
      </c>
      <c r="O228" s="18">
        <f t="shared" ref="O228" si="143">$C228*O227</f>
        <v>4.270833333333333</v>
      </c>
      <c r="P228" s="18">
        <f>SUM(D228:O228)</f>
        <v>41</v>
      </c>
    </row>
    <row r="229" spans="1:16" x14ac:dyDescent="0.25">
      <c r="A229" s="2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 x14ac:dyDescent="0.25">
      <c r="A230" s="25" t="s">
        <v>131</v>
      </c>
      <c r="B230" s="26"/>
      <c r="C230" s="32">
        <v>1</v>
      </c>
      <c r="D230" s="8">
        <v>1.5</v>
      </c>
      <c r="E230" s="8">
        <v>1.5</v>
      </c>
      <c r="F230" s="8">
        <v>1.25</v>
      </c>
      <c r="G230" s="8">
        <v>1</v>
      </c>
      <c r="H230" s="8">
        <v>0.75</v>
      </c>
      <c r="I230" s="8">
        <v>0.5</v>
      </c>
      <c r="J230" s="8">
        <v>0.5</v>
      </c>
      <c r="K230" s="8">
        <v>0.5</v>
      </c>
      <c r="L230" s="8">
        <v>0.75</v>
      </c>
      <c r="M230" s="8">
        <v>1</v>
      </c>
      <c r="N230" s="8">
        <v>1.25</v>
      </c>
      <c r="O230" s="9">
        <v>1.25</v>
      </c>
      <c r="P230" s="27"/>
    </row>
    <row r="231" spans="1:16" x14ac:dyDescent="0.25">
      <c r="A231" s="27" t="s">
        <v>201</v>
      </c>
      <c r="B231" s="18">
        <v>7</v>
      </c>
      <c r="C231" s="18">
        <f>B231/12</f>
        <v>0.58333333333333337</v>
      </c>
      <c r="D231" s="18">
        <f>$C231*D230</f>
        <v>0.875</v>
      </c>
      <c r="E231" s="18">
        <f t="shared" ref="E231" si="144">$C231*E230</f>
        <v>0.875</v>
      </c>
      <c r="F231" s="18">
        <f t="shared" ref="F231" si="145">$C231*F230</f>
        <v>0.72916666666666674</v>
      </c>
      <c r="G231" s="18">
        <f t="shared" ref="G231" si="146">$C231*G230</f>
        <v>0.58333333333333337</v>
      </c>
      <c r="H231" s="18">
        <f t="shared" ref="H231" si="147">$C231*H230</f>
        <v>0.4375</v>
      </c>
      <c r="I231" s="18">
        <f t="shared" ref="I231" si="148">$C231*I230</f>
        <v>0.29166666666666669</v>
      </c>
      <c r="J231" s="18">
        <f t="shared" ref="J231" si="149">$C231*J230</f>
        <v>0.29166666666666669</v>
      </c>
      <c r="K231" s="18">
        <f t="shared" ref="K231" si="150">$C231*K230</f>
        <v>0.29166666666666669</v>
      </c>
      <c r="L231" s="18">
        <f t="shared" ref="L231" si="151">$C231*L230</f>
        <v>0.4375</v>
      </c>
      <c r="M231" s="18">
        <f t="shared" ref="M231" si="152">$C231*M230</f>
        <v>0.58333333333333337</v>
      </c>
      <c r="N231" s="18">
        <f t="shared" ref="N231" si="153">$C231*N230</f>
        <v>0.72916666666666674</v>
      </c>
      <c r="O231" s="18">
        <f t="shared" ref="O231" si="154">$C231*O230</f>
        <v>0.72916666666666674</v>
      </c>
      <c r="P231" s="18">
        <f>SUM(D231:O231)</f>
        <v>6.8541666666666679</v>
      </c>
    </row>
    <row r="232" spans="1:16" x14ac:dyDescent="0.25">
      <c r="A232" s="2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x14ac:dyDescent="0.25">
      <c r="A233" s="27" t="s">
        <v>202</v>
      </c>
      <c r="B233" s="18">
        <f>B219+B222+B225+B228+B231</f>
        <v>96</v>
      </c>
      <c r="C233" s="18">
        <f t="shared" ref="C233:O233" si="155">C219+C222+C225+C228+C231</f>
        <v>7.9999999999999991</v>
      </c>
      <c r="D233" s="18">
        <f t="shared" si="155"/>
        <v>9.2249999999999996</v>
      </c>
      <c r="E233" s="18">
        <f t="shared" si="155"/>
        <v>9.3604166666666657</v>
      </c>
      <c r="F233" s="18">
        <f t="shared" si="155"/>
        <v>8.8062499999999986</v>
      </c>
      <c r="G233" s="18">
        <f t="shared" si="155"/>
        <v>8.40625</v>
      </c>
      <c r="H233" s="18">
        <f t="shared" si="155"/>
        <v>7.7624999999999993</v>
      </c>
      <c r="I233" s="18">
        <f t="shared" si="155"/>
        <v>6.7479166666666668</v>
      </c>
      <c r="J233" s="18">
        <f t="shared" si="155"/>
        <v>6.7750000000000004</v>
      </c>
      <c r="K233" s="18">
        <f t="shared" si="155"/>
        <v>6.5041666666666673</v>
      </c>
      <c r="L233" s="18">
        <f t="shared" si="155"/>
        <v>7.3291666666666666</v>
      </c>
      <c r="M233" s="18">
        <f t="shared" si="155"/>
        <v>7.7291666666666661</v>
      </c>
      <c r="N233" s="18">
        <f t="shared" si="155"/>
        <v>8.1833333333333336</v>
      </c>
      <c r="O233" s="18">
        <f t="shared" si="155"/>
        <v>9.0249999999999986</v>
      </c>
      <c r="P233" s="18">
        <f>SUM(D233:O233)</f>
        <v>95.854166666666686</v>
      </c>
    </row>
    <row r="234" spans="1:16" x14ac:dyDescent="0.25">
      <c r="A234" s="27" t="s">
        <v>203</v>
      </c>
      <c r="B234" s="34">
        <f t="shared" ref="B234:O234" si="156">-(B233-B219)*$B383</f>
        <v>-6.23</v>
      </c>
      <c r="C234" s="34">
        <f t="shared" si="156"/>
        <v>-0.51916666666666667</v>
      </c>
      <c r="D234" s="34">
        <f t="shared" si="156"/>
        <v>-0.62941666666666674</v>
      </c>
      <c r="E234" s="34">
        <f t="shared" si="156"/>
        <v>-0.63379166666666664</v>
      </c>
      <c r="F234" s="34">
        <f t="shared" si="156"/>
        <v>-0.57458333333333333</v>
      </c>
      <c r="G234" s="34">
        <f t="shared" si="156"/>
        <v>-0.53229166666666672</v>
      </c>
      <c r="H234" s="34">
        <f t="shared" si="156"/>
        <v>-0.48212499999999997</v>
      </c>
      <c r="I234" s="34">
        <f t="shared" si="156"/>
        <v>-0.40804166666666669</v>
      </c>
      <c r="J234" s="34">
        <f t="shared" si="156"/>
        <v>-0.40891666666666671</v>
      </c>
      <c r="K234" s="34">
        <f t="shared" si="156"/>
        <v>-0.40016666666666673</v>
      </c>
      <c r="L234" s="34">
        <f t="shared" si="156"/>
        <v>-0.46812500000000007</v>
      </c>
      <c r="M234" s="34">
        <f t="shared" si="156"/>
        <v>-0.51041666666666663</v>
      </c>
      <c r="N234" s="34">
        <f t="shared" si="156"/>
        <v>-0.55445833333333339</v>
      </c>
      <c r="O234" s="34">
        <f t="shared" si="156"/>
        <v>-0.61745833333333322</v>
      </c>
      <c r="P234" s="34">
        <f>SUM(D234:O234)</f>
        <v>-6.2197916666666675</v>
      </c>
    </row>
    <row r="235" spans="1:16" x14ac:dyDescent="0.25">
      <c r="A235" s="27" t="s">
        <v>204</v>
      </c>
      <c r="B235" s="18">
        <f>B233+B234</f>
        <v>89.77</v>
      </c>
      <c r="C235" s="18">
        <f t="shared" ref="C235:O235" si="157">C233+C234</f>
        <v>7.4808333333333321</v>
      </c>
      <c r="D235" s="18">
        <f t="shared" si="157"/>
        <v>8.5955833333333338</v>
      </c>
      <c r="E235" s="18">
        <f t="shared" si="157"/>
        <v>8.7266249999999985</v>
      </c>
      <c r="F235" s="18">
        <f t="shared" si="157"/>
        <v>8.2316666666666656</v>
      </c>
      <c r="G235" s="18">
        <f t="shared" si="157"/>
        <v>7.8739583333333334</v>
      </c>
      <c r="H235" s="18">
        <f t="shared" si="157"/>
        <v>7.2803749999999994</v>
      </c>
      <c r="I235" s="18">
        <f t="shared" si="157"/>
        <v>6.3398750000000001</v>
      </c>
      <c r="J235" s="18">
        <f t="shared" si="157"/>
        <v>6.366083333333334</v>
      </c>
      <c r="K235" s="18">
        <f t="shared" si="157"/>
        <v>6.104000000000001</v>
      </c>
      <c r="L235" s="18">
        <f t="shared" si="157"/>
        <v>6.8610416666666669</v>
      </c>
      <c r="M235" s="18">
        <f t="shared" si="157"/>
        <v>7.2187499999999991</v>
      </c>
      <c r="N235" s="18">
        <f t="shared" si="157"/>
        <v>7.6288749999999999</v>
      </c>
      <c r="O235" s="18">
        <f t="shared" si="157"/>
        <v>8.4075416666666651</v>
      </c>
      <c r="P235" s="18">
        <f>SUM(D235:O235)</f>
        <v>89.634374999999991</v>
      </c>
    </row>
    <row r="236" spans="1:16" x14ac:dyDescent="0.25">
      <c r="A236" s="2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1:16" x14ac:dyDescent="0.25">
      <c r="A237" s="27" t="s">
        <v>205</v>
      </c>
      <c r="B237" s="18">
        <f>B208-B235</f>
        <v>436.49645952380956</v>
      </c>
      <c r="C237" s="18">
        <f t="shared" ref="C237:O237" si="158">C208-C235</f>
        <v>36.374704960317466</v>
      </c>
      <c r="D237" s="18">
        <f t="shared" si="158"/>
        <v>45.583560545634924</v>
      </c>
      <c r="E237" s="18">
        <f t="shared" si="158"/>
        <v>43.620514434523812</v>
      </c>
      <c r="F237" s="18">
        <f t="shared" si="158"/>
        <v>40.785674419642859</v>
      </c>
      <c r="G237" s="18">
        <f t="shared" si="158"/>
        <v>35.065577738095236</v>
      </c>
      <c r="H237" s="18">
        <f t="shared" si="158"/>
        <v>30.955359389880947</v>
      </c>
      <c r="I237" s="18">
        <f t="shared" si="158"/>
        <v>29.711063819444441</v>
      </c>
      <c r="J237" s="18">
        <f t="shared" si="158"/>
        <v>28.31085215277777</v>
      </c>
      <c r="K237" s="18">
        <f t="shared" si="158"/>
        <v>30.175939374999999</v>
      </c>
      <c r="L237" s="18">
        <f t="shared" si="158"/>
        <v>31.374692723214281</v>
      </c>
      <c r="M237" s="18">
        <f t="shared" si="158"/>
        <v>35.72078607142857</v>
      </c>
      <c r="N237" s="18">
        <f t="shared" si="158"/>
        <v>41.388466086309528</v>
      </c>
      <c r="O237" s="18">
        <f t="shared" si="158"/>
        <v>43.939597767857144</v>
      </c>
      <c r="P237" s="18">
        <f>SUM(D237:O237)</f>
        <v>436.63208452380951</v>
      </c>
    </row>
    <row r="238" spans="1:16" x14ac:dyDescent="0.25">
      <c r="A238" s="2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ht="18.75" x14ac:dyDescent="0.3">
      <c r="A239" s="33" t="s">
        <v>169</v>
      </c>
      <c r="B239" s="28" t="s">
        <v>99</v>
      </c>
      <c r="C239" s="27" t="s">
        <v>100</v>
      </c>
      <c r="D239" s="27" t="s">
        <v>102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6" x14ac:dyDescent="0.25">
      <c r="A240" s="27"/>
      <c r="B240" s="18"/>
      <c r="C240" s="27" t="s">
        <v>101</v>
      </c>
      <c r="D240" s="27" t="s">
        <v>103</v>
      </c>
      <c r="E240" s="27" t="s">
        <v>104</v>
      </c>
      <c r="F240" s="27" t="s">
        <v>105</v>
      </c>
      <c r="G240" s="27" t="s">
        <v>106</v>
      </c>
      <c r="H240" s="27" t="s">
        <v>107</v>
      </c>
      <c r="I240" s="27" t="s">
        <v>108</v>
      </c>
      <c r="J240" s="27" t="s">
        <v>109</v>
      </c>
      <c r="K240" s="27" t="s">
        <v>110</v>
      </c>
      <c r="L240" s="27" t="s">
        <v>111</v>
      </c>
      <c r="M240" s="27" t="s">
        <v>112</v>
      </c>
      <c r="N240" s="27" t="s">
        <v>113</v>
      </c>
      <c r="O240" s="27" t="s">
        <v>114</v>
      </c>
      <c r="P240" s="27" t="s">
        <v>13</v>
      </c>
    </row>
    <row r="241" spans="1:16" x14ac:dyDescent="0.25">
      <c r="A241" s="2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1:16" x14ac:dyDescent="0.25">
      <c r="A242" s="27" t="s">
        <v>167</v>
      </c>
      <c r="B242" s="18">
        <v>130</v>
      </c>
      <c r="C242" s="18" t="s">
        <v>62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x14ac:dyDescent="0.25">
      <c r="A243" s="27" t="s">
        <v>191</v>
      </c>
      <c r="B243" s="18">
        <f>B213*$B242</f>
        <v>107.6740164807327</v>
      </c>
      <c r="C243" s="18">
        <f t="shared" ref="C243:P243" si="159">C213*$B242</f>
        <v>8.9728347067277241</v>
      </c>
      <c r="D243" s="18">
        <f t="shared" si="159"/>
        <v>3.5891338826910903</v>
      </c>
      <c r="E243" s="18">
        <f t="shared" si="159"/>
        <v>4.7107382210320559</v>
      </c>
      <c r="F243" s="18">
        <f t="shared" si="159"/>
        <v>9.1971555743959161</v>
      </c>
      <c r="G243" s="18">
        <f t="shared" si="159"/>
        <v>12.337647721750622</v>
      </c>
      <c r="H243" s="18">
        <f t="shared" si="159"/>
        <v>13.459252060091588</v>
      </c>
      <c r="I243" s="18">
        <f t="shared" si="159"/>
        <v>14.132214663096166</v>
      </c>
      <c r="J243" s="18">
        <f t="shared" si="159"/>
        <v>14.356535530764361</v>
      </c>
      <c r="K243" s="18">
        <f t="shared" si="159"/>
        <v>12.11332685408243</v>
      </c>
      <c r="L243" s="18">
        <f t="shared" si="159"/>
        <v>9.8701181774004976</v>
      </c>
      <c r="M243" s="18">
        <f t="shared" si="159"/>
        <v>6.729626030045794</v>
      </c>
      <c r="N243" s="18">
        <f t="shared" si="159"/>
        <v>4.0377756180274762</v>
      </c>
      <c r="O243" s="18">
        <f t="shared" si="159"/>
        <v>3.1404921473547036</v>
      </c>
      <c r="P243" s="18">
        <f t="shared" si="159"/>
        <v>107.6740164807327</v>
      </c>
    </row>
    <row r="244" spans="1:16" x14ac:dyDescent="0.25">
      <c r="A244" s="2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x14ac:dyDescent="0.25">
      <c r="A245" s="27" t="s">
        <v>168</v>
      </c>
      <c r="B245" s="18">
        <v>130</v>
      </c>
      <c r="C245" s="18" t="s">
        <v>62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1:16" x14ac:dyDescent="0.25">
      <c r="A246" s="27" t="s">
        <v>192</v>
      </c>
      <c r="B246" s="18">
        <f>B216*$B245</f>
        <v>341.64</v>
      </c>
      <c r="C246" s="18">
        <f t="shared" ref="C246:P246" si="160">C216*$B245</f>
        <v>28.47</v>
      </c>
      <c r="D246" s="18">
        <f t="shared" si="160"/>
        <v>35.587499999999999</v>
      </c>
      <c r="E246" s="18">
        <f t="shared" si="160"/>
        <v>35.587499999999999</v>
      </c>
      <c r="F246" s="18">
        <f t="shared" si="160"/>
        <v>31.317000000000004</v>
      </c>
      <c r="G246" s="18">
        <f t="shared" si="160"/>
        <v>28.47</v>
      </c>
      <c r="H246" s="18">
        <f t="shared" si="160"/>
        <v>25.623000000000001</v>
      </c>
      <c r="I246" s="18">
        <f t="shared" si="160"/>
        <v>21.352499999999999</v>
      </c>
      <c r="J246" s="18">
        <f t="shared" si="160"/>
        <v>21.352499999999999</v>
      </c>
      <c r="K246" s="18">
        <f t="shared" si="160"/>
        <v>21.352499999999999</v>
      </c>
      <c r="L246" s="18">
        <f t="shared" si="160"/>
        <v>25.623000000000001</v>
      </c>
      <c r="M246" s="18">
        <f t="shared" si="160"/>
        <v>28.47</v>
      </c>
      <c r="N246" s="18">
        <f t="shared" si="160"/>
        <v>31.317000000000004</v>
      </c>
      <c r="O246" s="18">
        <f t="shared" si="160"/>
        <v>35.587499999999999</v>
      </c>
      <c r="P246" s="18">
        <f t="shared" si="160"/>
        <v>341.64</v>
      </c>
    </row>
    <row r="247" spans="1:16" x14ac:dyDescent="0.25">
      <c r="A247" s="2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1:16" x14ac:dyDescent="0.25">
      <c r="A248" s="27" t="s">
        <v>193</v>
      </c>
      <c r="B248" s="18">
        <f>B243+B246</f>
        <v>449.31401648073268</v>
      </c>
      <c r="C248" s="18">
        <f t="shared" ref="C248:P248" si="161">C243+C246</f>
        <v>37.442834706727723</v>
      </c>
      <c r="D248" s="18">
        <f t="shared" si="161"/>
        <v>39.176633882691092</v>
      </c>
      <c r="E248" s="18">
        <f t="shared" si="161"/>
        <v>40.298238221032051</v>
      </c>
      <c r="F248" s="18">
        <f t="shared" si="161"/>
        <v>40.514155574395922</v>
      </c>
      <c r="G248" s="18">
        <f t="shared" si="161"/>
        <v>40.807647721750619</v>
      </c>
      <c r="H248" s="18">
        <f t="shared" si="161"/>
        <v>39.082252060091591</v>
      </c>
      <c r="I248" s="18">
        <f t="shared" si="161"/>
        <v>35.484714663096163</v>
      </c>
      <c r="J248" s="18">
        <f t="shared" si="161"/>
        <v>35.709035530764361</v>
      </c>
      <c r="K248" s="18">
        <f t="shared" si="161"/>
        <v>33.46582685408243</v>
      </c>
      <c r="L248" s="18">
        <f t="shared" si="161"/>
        <v>35.493118177400497</v>
      </c>
      <c r="M248" s="18">
        <f t="shared" si="161"/>
        <v>35.199626030045792</v>
      </c>
      <c r="N248" s="18">
        <f t="shared" si="161"/>
        <v>35.354775618027482</v>
      </c>
      <c r="O248" s="18">
        <f t="shared" si="161"/>
        <v>38.727992147354705</v>
      </c>
      <c r="P248" s="18">
        <f t="shared" si="161"/>
        <v>449.31401648073268</v>
      </c>
    </row>
    <row r="250" spans="1:16" x14ac:dyDescent="0.25">
      <c r="A250" s="27" t="s">
        <v>194</v>
      </c>
      <c r="B250" s="36">
        <f>B248-B237</f>
        <v>12.817556956923113</v>
      </c>
      <c r="C250" s="36">
        <f t="shared" ref="C250:P250" si="162">C248-C237</f>
        <v>1.068129746410257</v>
      </c>
      <c r="D250" s="36">
        <f t="shared" si="162"/>
        <v>-6.4069266629438317</v>
      </c>
      <c r="E250" s="36">
        <f t="shared" si="162"/>
        <v>-3.3222762134917616</v>
      </c>
      <c r="F250" s="36">
        <f t="shared" si="162"/>
        <v>-0.2715188452469377</v>
      </c>
      <c r="G250" s="36">
        <f t="shared" si="162"/>
        <v>5.7420699836553837</v>
      </c>
      <c r="H250" s="36">
        <f t="shared" si="162"/>
        <v>8.1268926702106441</v>
      </c>
      <c r="I250" s="36">
        <f t="shared" si="162"/>
        <v>5.7736508436517227</v>
      </c>
      <c r="J250" s="36">
        <f t="shared" si="162"/>
        <v>7.3981833779865909</v>
      </c>
      <c r="K250" s="36">
        <f t="shared" si="162"/>
        <v>3.2898874790824308</v>
      </c>
      <c r="L250" s="36">
        <f t="shared" si="162"/>
        <v>4.118425454186216</v>
      </c>
      <c r="M250" s="36">
        <f t="shared" si="162"/>
        <v>-0.52116004138277816</v>
      </c>
      <c r="N250" s="36">
        <f t="shared" si="162"/>
        <v>-6.033690468282046</v>
      </c>
      <c r="O250" s="36">
        <f t="shared" si="162"/>
        <v>-5.2116056205024393</v>
      </c>
      <c r="P250" s="36">
        <f t="shared" si="162"/>
        <v>12.681931956923165</v>
      </c>
    </row>
    <row r="251" spans="1:16" x14ac:dyDescent="0.25">
      <c r="A251" s="27" t="s">
        <v>132</v>
      </c>
    </row>
    <row r="252" spans="1:16" x14ac:dyDescent="0.25">
      <c r="A252" s="27"/>
    </row>
    <row r="253" spans="1:16" x14ac:dyDescent="0.25">
      <c r="A253" s="27"/>
    </row>
    <row r="254" spans="1:16" ht="18.75" x14ac:dyDescent="0.3">
      <c r="A254" s="33" t="s">
        <v>184</v>
      </c>
      <c r="D254" s="3" t="s">
        <v>288</v>
      </c>
      <c r="E254" s="3" t="s">
        <v>290</v>
      </c>
    </row>
    <row r="255" spans="1:16" x14ac:dyDescent="0.25">
      <c r="A255" s="27"/>
      <c r="D255" s="3" t="s">
        <v>289</v>
      </c>
      <c r="E255" s="3" t="s">
        <v>291</v>
      </c>
    </row>
    <row r="256" spans="1:16" x14ac:dyDescent="0.25">
      <c r="A256" s="27" t="s">
        <v>168</v>
      </c>
      <c r="B256" s="18">
        <f>B245</f>
        <v>130</v>
      </c>
      <c r="C256" s="18" t="s">
        <v>62</v>
      </c>
      <c r="D256">
        <v>12</v>
      </c>
      <c r="E256" s="6">
        <f>1000*B256/D256</f>
        <v>10833.333333333334</v>
      </c>
    </row>
    <row r="257" spans="1:3" x14ac:dyDescent="0.25">
      <c r="A257" s="27" t="s">
        <v>170</v>
      </c>
      <c r="B257" s="41">
        <v>1250</v>
      </c>
      <c r="C257" s="1" t="s">
        <v>149</v>
      </c>
    </row>
    <row r="258" spans="1:3" x14ac:dyDescent="0.25">
      <c r="A258" s="27" t="s">
        <v>171</v>
      </c>
      <c r="B258" s="41">
        <f>B245*B257/1000</f>
        <v>162.5</v>
      </c>
      <c r="C258" s="1" t="s">
        <v>146</v>
      </c>
    </row>
    <row r="259" spans="1:3" x14ac:dyDescent="0.25">
      <c r="A259" s="27" t="s">
        <v>195</v>
      </c>
      <c r="B259" s="34">
        <f>B246</f>
        <v>341.64</v>
      </c>
      <c r="C259" s="1" t="s">
        <v>63</v>
      </c>
    </row>
    <row r="260" spans="1:3" x14ac:dyDescent="0.25">
      <c r="A260" s="27"/>
    </row>
    <row r="261" spans="1:3" x14ac:dyDescent="0.25">
      <c r="A261" s="27" t="s">
        <v>167</v>
      </c>
      <c r="B261" s="18">
        <f>B242</f>
        <v>130</v>
      </c>
      <c r="C261" s="18" t="s">
        <v>62</v>
      </c>
    </row>
    <row r="262" spans="1:3" x14ac:dyDescent="0.25">
      <c r="A262" s="27" t="s">
        <v>190</v>
      </c>
      <c r="B262" s="18">
        <f>B243</f>
        <v>107.6740164807327</v>
      </c>
      <c r="C262" s="18" t="s">
        <v>63</v>
      </c>
    </row>
    <row r="263" spans="1:3" x14ac:dyDescent="0.25">
      <c r="A263" s="27"/>
      <c r="B263" s="18"/>
      <c r="C263" s="18"/>
    </row>
    <row r="264" spans="1:3" x14ac:dyDescent="0.25">
      <c r="A264" s="27" t="s">
        <v>172</v>
      </c>
    </row>
    <row r="265" spans="1:3" x14ac:dyDescent="0.25">
      <c r="A265" s="27"/>
    </row>
    <row r="266" spans="1:3" x14ac:dyDescent="0.25">
      <c r="A266" s="27" t="s">
        <v>176</v>
      </c>
    </row>
    <row r="267" spans="1:3" x14ac:dyDescent="0.25">
      <c r="A267" s="27" t="s">
        <v>64</v>
      </c>
      <c r="B267" s="42">
        <f>G91</f>
        <v>125.11608273533136</v>
      </c>
      <c r="C267" s="1" t="s">
        <v>62</v>
      </c>
    </row>
    <row r="268" spans="1:3" x14ac:dyDescent="0.25">
      <c r="A268" s="27" t="s">
        <v>177</v>
      </c>
      <c r="B268" s="43">
        <v>0.8</v>
      </c>
    </row>
    <row r="269" spans="1:3" x14ac:dyDescent="0.25">
      <c r="A269" s="27" t="s">
        <v>178</v>
      </c>
      <c r="B269" s="34">
        <f>B267*B268</f>
        <v>100.09286618826509</v>
      </c>
      <c r="C269" s="1" t="s">
        <v>62</v>
      </c>
    </row>
    <row r="270" spans="1:3" x14ac:dyDescent="0.25">
      <c r="A270" s="27" t="s">
        <v>147</v>
      </c>
      <c r="B270" s="37">
        <f>B94</f>
        <v>750</v>
      </c>
      <c r="C270" s="17" t="s">
        <v>149</v>
      </c>
    </row>
    <row r="271" spans="1:3" x14ac:dyDescent="0.25">
      <c r="A271" s="27" t="s">
        <v>180</v>
      </c>
      <c r="B271" s="41">
        <f>B269*B270/1000</f>
        <v>75.069649641198822</v>
      </c>
      <c r="C271" s="1" t="s">
        <v>146</v>
      </c>
    </row>
    <row r="272" spans="1:3" x14ac:dyDescent="0.25">
      <c r="A272" s="27" t="s">
        <v>189</v>
      </c>
      <c r="B272" s="34">
        <f>G92*B268</f>
        <v>86.78051498522585</v>
      </c>
      <c r="C272" s="1" t="s">
        <v>63</v>
      </c>
    </row>
    <row r="273" spans="1:3" x14ac:dyDescent="0.25">
      <c r="A273" s="27"/>
      <c r="B273" s="41"/>
      <c r="C273" s="1"/>
    </row>
    <row r="274" spans="1:3" x14ac:dyDescent="0.25">
      <c r="A274" s="27" t="s">
        <v>196</v>
      </c>
      <c r="B274" s="18">
        <f>B262-B272</f>
        <v>20.893501495506854</v>
      </c>
      <c r="C274" s="18" t="s">
        <v>63</v>
      </c>
    </row>
    <row r="275" spans="1:3" x14ac:dyDescent="0.25">
      <c r="A275" s="27" t="s">
        <v>179</v>
      </c>
    </row>
    <row r="276" spans="1:3" x14ac:dyDescent="0.25">
      <c r="A276" s="27" t="s">
        <v>66</v>
      </c>
      <c r="B276" s="42">
        <f>G24</f>
        <v>278.79886291684255</v>
      </c>
      <c r="C276" s="1" t="s">
        <v>62</v>
      </c>
    </row>
    <row r="277" spans="1:3" x14ac:dyDescent="0.25">
      <c r="A277" s="27" t="s">
        <v>181</v>
      </c>
      <c r="B277" s="44">
        <f>B274/G25</f>
        <v>9.353026995481957E-2</v>
      </c>
    </row>
    <row r="278" spans="1:3" x14ac:dyDescent="0.25">
      <c r="A278" s="27" t="s">
        <v>182</v>
      </c>
      <c r="B278" s="34">
        <f>B276*B277</f>
        <v>26.076132911709021</v>
      </c>
      <c r="C278" s="1" t="s">
        <v>62</v>
      </c>
    </row>
    <row r="279" spans="1:3" x14ac:dyDescent="0.25">
      <c r="A279" s="27" t="s">
        <v>145</v>
      </c>
      <c r="B279" s="37">
        <f>B27</f>
        <v>900</v>
      </c>
      <c r="C279" s="17" t="s">
        <v>149</v>
      </c>
    </row>
    <row r="280" spans="1:3" x14ac:dyDescent="0.25">
      <c r="A280" s="27" t="s">
        <v>183</v>
      </c>
      <c r="B280" s="41">
        <f>B278*B279/1000</f>
        <v>23.468519620538117</v>
      </c>
      <c r="C280" s="1" t="s">
        <v>146</v>
      </c>
    </row>
    <row r="281" spans="1:3" x14ac:dyDescent="0.25">
      <c r="A281" s="27" t="s">
        <v>188</v>
      </c>
      <c r="B281" s="34">
        <f>G25*B277</f>
        <v>20.893501495506854</v>
      </c>
      <c r="C281" s="1" t="s">
        <v>63</v>
      </c>
    </row>
    <row r="282" spans="1:3" x14ac:dyDescent="0.25">
      <c r="A282" s="27"/>
      <c r="B282" s="41"/>
      <c r="C282" s="1"/>
    </row>
    <row r="283" spans="1:3" ht="18.75" x14ac:dyDescent="0.3">
      <c r="A283" s="33" t="s">
        <v>185</v>
      </c>
      <c r="B283" s="45">
        <f>B258+B271+B280</f>
        <v>261.03816926173693</v>
      </c>
      <c r="C283" s="2" t="s">
        <v>146</v>
      </c>
    </row>
    <row r="284" spans="1:3" ht="18.75" x14ac:dyDescent="0.3">
      <c r="A284" s="33"/>
      <c r="B284" s="45"/>
      <c r="C284" s="2"/>
    </row>
    <row r="285" spans="1:3" ht="15.75" x14ac:dyDescent="0.25">
      <c r="A285" s="27" t="s">
        <v>309</v>
      </c>
      <c r="B285" s="46">
        <f>100*$B$387*B258/(B259)</f>
        <v>3.3295281582952825</v>
      </c>
      <c r="C285" s="46" t="s">
        <v>161</v>
      </c>
    </row>
    <row r="286" spans="1:3" ht="15.75" x14ac:dyDescent="0.25">
      <c r="A286" s="27" t="s">
        <v>310</v>
      </c>
      <c r="B286" s="46">
        <f>100*$B$387*B271/(B272)</f>
        <v>6.0553633217993079</v>
      </c>
      <c r="C286" s="46" t="s">
        <v>161</v>
      </c>
    </row>
    <row r="287" spans="1:3" ht="15.75" x14ac:dyDescent="0.25">
      <c r="A287" s="27" t="s">
        <v>311</v>
      </c>
      <c r="B287" s="46">
        <f>100*$B$387*B280/(B281)</f>
        <v>7.8627145085803427</v>
      </c>
      <c r="C287" s="46" t="s">
        <v>161</v>
      </c>
    </row>
    <row r="288" spans="1:3" ht="18.75" x14ac:dyDescent="0.3">
      <c r="A288" s="33"/>
      <c r="B288" s="45"/>
      <c r="C288" s="2"/>
    </row>
    <row r="289" spans="1:3" ht="15.75" x14ac:dyDescent="0.25">
      <c r="A289" s="27" t="s">
        <v>186</v>
      </c>
      <c r="B289" s="46">
        <f>100*$B$387*B283/(B259+B272+B281)</f>
        <v>4.0667931954233056</v>
      </c>
      <c r="C289" s="46" t="s">
        <v>161</v>
      </c>
    </row>
    <row r="290" spans="1:3" ht="15.75" x14ac:dyDescent="0.25">
      <c r="A290" s="27"/>
      <c r="B290" s="46"/>
      <c r="C290" s="46"/>
    </row>
    <row r="291" spans="1:3" x14ac:dyDescent="0.25">
      <c r="A291" s="25" t="s">
        <v>206</v>
      </c>
      <c r="B291" s="47">
        <v>21</v>
      </c>
      <c r="C291" s="47" t="s">
        <v>161</v>
      </c>
    </row>
    <row r="292" spans="1:3" x14ac:dyDescent="0.25">
      <c r="A292" s="25" t="s">
        <v>207</v>
      </c>
      <c r="B292" s="47">
        <v>14</v>
      </c>
      <c r="C292" s="47" t="s">
        <v>161</v>
      </c>
    </row>
    <row r="293" spans="1:3" ht="15.75" x14ac:dyDescent="0.25">
      <c r="A293" s="27"/>
      <c r="B293" s="46"/>
      <c r="C293" s="46"/>
    </row>
    <row r="294" spans="1:3" ht="15.75" x14ac:dyDescent="0.25">
      <c r="A294" s="27" t="s">
        <v>208</v>
      </c>
      <c r="B294" s="18">
        <f>B208</f>
        <v>526.26645952380954</v>
      </c>
      <c r="C294" s="46" t="s">
        <v>63</v>
      </c>
    </row>
    <row r="295" spans="1:3" ht="15.75" x14ac:dyDescent="0.25">
      <c r="A295" s="27" t="s">
        <v>209</v>
      </c>
      <c r="B295" s="46">
        <f>G80+G36+B157</f>
        <v>266.04586666666665</v>
      </c>
      <c r="C295" s="46" t="s">
        <v>63</v>
      </c>
    </row>
    <row r="296" spans="1:3" ht="15.75" x14ac:dyDescent="0.25">
      <c r="A296" s="27" t="s">
        <v>212</v>
      </c>
      <c r="B296" s="46">
        <f>G112+G103+C157+D157+E157</f>
        <v>260.22059285714289</v>
      </c>
      <c r="C296" s="46" t="s">
        <v>63</v>
      </c>
    </row>
    <row r="297" spans="1:3" ht="15.75" x14ac:dyDescent="0.25">
      <c r="A297" s="27"/>
      <c r="B297" s="46"/>
      <c r="C297" s="46"/>
    </row>
    <row r="298" spans="1:3" ht="15.75" x14ac:dyDescent="0.25">
      <c r="A298" s="27" t="s">
        <v>214</v>
      </c>
      <c r="B298" s="49">
        <f>(B295*B291+B296*B292)/100</f>
        <v>92.300515000000019</v>
      </c>
      <c r="C298" s="46" t="s">
        <v>213</v>
      </c>
    </row>
    <row r="299" spans="1:3" ht="15.75" x14ac:dyDescent="0.25">
      <c r="A299" s="27" t="s">
        <v>215</v>
      </c>
      <c r="B299" s="46"/>
      <c r="C299" s="46"/>
    </row>
    <row r="300" spans="1:3" x14ac:dyDescent="0.25">
      <c r="A300" s="27"/>
      <c r="B300" s="41"/>
      <c r="C300" s="1"/>
    </row>
    <row r="301" spans="1:3" ht="15.75" x14ac:dyDescent="0.25">
      <c r="A301" s="27" t="s">
        <v>214</v>
      </c>
      <c r="B301" s="49">
        <f>B294*B289/100</f>
        <v>21.402168565709431</v>
      </c>
      <c r="C301" s="46" t="s">
        <v>213</v>
      </c>
    </row>
    <row r="302" spans="1:3" x14ac:dyDescent="0.25">
      <c r="A302" s="27" t="s">
        <v>216</v>
      </c>
      <c r="B302" s="41"/>
      <c r="C302" s="1"/>
    </row>
    <row r="303" spans="1:3" ht="15.75" x14ac:dyDescent="0.25">
      <c r="A303" s="27" t="s">
        <v>217</v>
      </c>
      <c r="B303" s="50">
        <f>1-B301/B298</f>
        <v>0.76812514463533144</v>
      </c>
      <c r="C303" s="1"/>
    </row>
    <row r="304" spans="1:3" ht="15.75" x14ac:dyDescent="0.25">
      <c r="A304" s="27"/>
      <c r="B304" s="50"/>
      <c r="C304" s="1"/>
    </row>
    <row r="305" spans="1:5" ht="18.75" x14ac:dyDescent="0.3">
      <c r="A305" s="33" t="s">
        <v>253</v>
      </c>
      <c r="B305" s="50"/>
      <c r="C305" s="1"/>
    </row>
    <row r="306" spans="1:5" ht="15.75" x14ac:dyDescent="0.25">
      <c r="A306" s="27"/>
      <c r="B306" s="50"/>
      <c r="C306" s="1"/>
    </row>
    <row r="307" spans="1:5" x14ac:dyDescent="0.25">
      <c r="A307" s="27"/>
      <c r="B307" s="27" t="s">
        <v>254</v>
      </c>
      <c r="C307" s="1" t="s">
        <v>262</v>
      </c>
      <c r="D307" s="1"/>
      <c r="E307" s="1"/>
    </row>
    <row r="308" spans="1:5" ht="15.75" x14ac:dyDescent="0.25">
      <c r="A308" s="27"/>
      <c r="B308" s="100" t="s">
        <v>263</v>
      </c>
      <c r="C308" s="27" t="s">
        <v>261</v>
      </c>
      <c r="D308" s="27" t="s">
        <v>260</v>
      </c>
      <c r="E308" s="27"/>
    </row>
    <row r="309" spans="1:5" x14ac:dyDescent="0.25">
      <c r="A309" s="25" t="s">
        <v>255</v>
      </c>
      <c r="B309" s="101">
        <f>B258</f>
        <v>162.5</v>
      </c>
      <c r="C309" s="34">
        <f>B309*$B$387</f>
        <v>11.375000000000002</v>
      </c>
      <c r="D309" s="43">
        <f>C309/B309</f>
        <v>7.0000000000000007E-2</v>
      </c>
    </row>
    <row r="310" spans="1:5" x14ac:dyDescent="0.25">
      <c r="A310" s="25" t="s">
        <v>256</v>
      </c>
      <c r="B310" s="101">
        <f>B271</f>
        <v>75.069649641198822</v>
      </c>
      <c r="C310" s="34">
        <f>B310*$B$387</f>
        <v>5.2548754748839182</v>
      </c>
      <c r="D310" s="43">
        <f t="shared" ref="D310:D323" si="163">C310/B310</f>
        <v>7.0000000000000007E-2</v>
      </c>
    </row>
    <row r="311" spans="1:5" x14ac:dyDescent="0.25">
      <c r="A311" s="25" t="s">
        <v>257</v>
      </c>
      <c r="B311" s="101">
        <f>B280</f>
        <v>23.468519620538117</v>
      </c>
      <c r="C311" s="34">
        <f>B311*$B$387</f>
        <v>1.6427963734376685</v>
      </c>
      <c r="D311" s="43">
        <f t="shared" si="163"/>
        <v>7.0000000000000007E-2</v>
      </c>
    </row>
    <row r="312" spans="1:5" x14ac:dyDescent="0.25">
      <c r="A312" s="25" t="s">
        <v>258</v>
      </c>
      <c r="B312" s="101">
        <f>G40</f>
        <v>165.16000000000003</v>
      </c>
      <c r="C312" s="34">
        <f>G38</f>
        <v>7.1510708443960507</v>
      </c>
      <c r="D312" s="43">
        <f t="shared" si="163"/>
        <v>4.3297837517534812E-2</v>
      </c>
    </row>
    <row r="313" spans="1:5" x14ac:dyDescent="0.25">
      <c r="A313" s="25" t="s">
        <v>259</v>
      </c>
      <c r="B313" s="101">
        <f>G107</f>
        <v>30.99</v>
      </c>
      <c r="C313" s="34">
        <f>G105</f>
        <v>1.7893890059862545</v>
      </c>
      <c r="D313" s="43">
        <f t="shared" si="163"/>
        <v>5.7740852080873012E-2</v>
      </c>
    </row>
    <row r="314" spans="1:5" x14ac:dyDescent="0.25">
      <c r="A314" s="3" t="s">
        <v>356</v>
      </c>
      <c r="B314" s="101">
        <f>G62</f>
        <v>3.4657174666666668</v>
      </c>
      <c r="C314" s="34">
        <f>B314/$B$438</f>
        <v>0.17328587333333334</v>
      </c>
      <c r="D314" s="43">
        <f t="shared" si="163"/>
        <v>0.05</v>
      </c>
    </row>
    <row r="315" spans="1:5" x14ac:dyDescent="0.25">
      <c r="A315" s="3" t="s">
        <v>357</v>
      </c>
      <c r="B315" s="101">
        <f t="shared" ref="B315:B317" si="164">G63</f>
        <v>5.9526665466232291</v>
      </c>
      <c r="C315" s="34">
        <f t="shared" ref="C315:C317" si="165">B315/$B$438</f>
        <v>0.29763332733116143</v>
      </c>
      <c r="D315" s="43">
        <f t="shared" si="163"/>
        <v>4.9999999999999996E-2</v>
      </c>
    </row>
    <row r="316" spans="1:5" x14ac:dyDescent="0.25">
      <c r="A316" s="3" t="s">
        <v>358</v>
      </c>
      <c r="B316" s="101">
        <f t="shared" si="164"/>
        <v>95.88899785793366</v>
      </c>
      <c r="C316" s="34">
        <f t="shared" si="165"/>
        <v>4.794449892896683</v>
      </c>
      <c r="D316" s="43">
        <f t="shared" si="163"/>
        <v>0.05</v>
      </c>
    </row>
    <row r="317" spans="1:5" x14ac:dyDescent="0.25">
      <c r="A317" s="3" t="s">
        <v>359</v>
      </c>
      <c r="B317" s="101">
        <f t="shared" si="164"/>
        <v>6.2885340000000003</v>
      </c>
      <c r="C317" s="34">
        <f t="shared" si="165"/>
        <v>0.3144267</v>
      </c>
      <c r="D317" s="43">
        <f t="shared" si="163"/>
        <v>4.9999999999999996E-2</v>
      </c>
    </row>
    <row r="318" spans="1:5" x14ac:dyDescent="0.25">
      <c r="A318" s="25" t="s">
        <v>264</v>
      </c>
      <c r="B318" s="101">
        <f>B162</f>
        <v>960</v>
      </c>
      <c r="C318" s="18">
        <f>B177</f>
        <v>47.679392661968137</v>
      </c>
      <c r="D318" s="43">
        <f t="shared" si="163"/>
        <v>4.9666034022883478E-2</v>
      </c>
    </row>
    <row r="319" spans="1:5" x14ac:dyDescent="0.25">
      <c r="A319" s="25" t="s">
        <v>265</v>
      </c>
      <c r="B319" s="101">
        <f>C162</f>
        <v>176</v>
      </c>
      <c r="C319" s="18">
        <f>C177</f>
        <v>10.977958245510312</v>
      </c>
      <c r="D319" s="43">
        <f t="shared" si="163"/>
        <v>6.2374762758581316E-2</v>
      </c>
    </row>
    <row r="320" spans="1:5" x14ac:dyDescent="0.25">
      <c r="A320" s="25" t="s">
        <v>266</v>
      </c>
      <c r="B320" s="101">
        <f>D162</f>
        <v>150</v>
      </c>
      <c r="C320" s="18">
        <f>D177</f>
        <v>9.8391461057437155</v>
      </c>
      <c r="D320" s="43">
        <f t="shared" si="163"/>
        <v>6.5594307371624763E-2</v>
      </c>
    </row>
    <row r="321" spans="1:41" x14ac:dyDescent="0.25">
      <c r="A321" s="25" t="s">
        <v>267</v>
      </c>
      <c r="B321" s="101">
        <f>E162</f>
        <v>30</v>
      </c>
      <c r="C321" s="18">
        <f>E177</f>
        <v>1.9627457296544635</v>
      </c>
      <c r="D321" s="43">
        <f t="shared" si="163"/>
        <v>6.5424857655148785E-2</v>
      </c>
    </row>
    <row r="322" spans="1:41" x14ac:dyDescent="0.25">
      <c r="A322" s="25"/>
      <c r="B322" s="81"/>
      <c r="C322" s="1"/>
      <c r="D322" s="43"/>
    </row>
    <row r="323" spans="1:41" ht="15.75" x14ac:dyDescent="0.25">
      <c r="A323" s="27" t="s">
        <v>13</v>
      </c>
      <c r="B323" s="103">
        <f>SUM(B309:B321)</f>
        <v>1884.7840851329606</v>
      </c>
      <c r="C323" s="102">
        <f>SUM(C309:C321)</f>
        <v>103.25217023514169</v>
      </c>
      <c r="D323" s="43">
        <f t="shared" si="163"/>
        <v>5.4781962055806432E-2</v>
      </c>
    </row>
    <row r="324" spans="1:41" x14ac:dyDescent="0.25">
      <c r="A324" s="27"/>
      <c r="B324" s="27" t="s">
        <v>146</v>
      </c>
      <c r="C324" s="27" t="s">
        <v>146</v>
      </c>
      <c r="D324" s="43"/>
    </row>
    <row r="325" spans="1:41" x14ac:dyDescent="0.25">
      <c r="A325" s="27"/>
      <c r="B325" s="27"/>
      <c r="C325" s="27"/>
      <c r="D325" s="43"/>
    </row>
    <row r="326" spans="1:41" x14ac:dyDescent="0.25">
      <c r="A326" s="27" t="s">
        <v>293</v>
      </c>
      <c r="B326" s="27"/>
      <c r="C326" s="27"/>
      <c r="D326" s="43"/>
      <c r="AH326" s="122" t="s">
        <v>293</v>
      </c>
    </row>
    <row r="327" spans="1:41" x14ac:dyDescent="0.25">
      <c r="A327" s="27"/>
      <c r="B327" s="27"/>
      <c r="C327" s="27"/>
      <c r="D327" s="43"/>
      <c r="AH327" s="122"/>
    </row>
    <row r="328" spans="1:41" x14ac:dyDescent="0.25">
      <c r="A328" s="27" t="s">
        <v>294</v>
      </c>
      <c r="B328" s="27">
        <v>2022</v>
      </c>
      <c r="C328" s="27">
        <f>B328+1</f>
        <v>2023</v>
      </c>
      <c r="D328" s="27">
        <f t="shared" ref="D328:T328" si="166">C328+1</f>
        <v>2024</v>
      </c>
      <c r="E328" s="27">
        <f t="shared" si="166"/>
        <v>2025</v>
      </c>
      <c r="F328" s="27">
        <f t="shared" si="166"/>
        <v>2026</v>
      </c>
      <c r="G328" s="27">
        <f t="shared" si="166"/>
        <v>2027</v>
      </c>
      <c r="H328" s="27">
        <f t="shared" si="166"/>
        <v>2028</v>
      </c>
      <c r="I328" s="27">
        <f t="shared" si="166"/>
        <v>2029</v>
      </c>
      <c r="J328" s="27">
        <f t="shared" si="166"/>
        <v>2030</v>
      </c>
      <c r="K328" s="27">
        <f t="shared" si="166"/>
        <v>2031</v>
      </c>
      <c r="L328" s="27">
        <f t="shared" si="166"/>
        <v>2032</v>
      </c>
      <c r="M328" s="27">
        <f t="shared" si="166"/>
        <v>2033</v>
      </c>
      <c r="N328" s="27">
        <f t="shared" si="166"/>
        <v>2034</v>
      </c>
      <c r="O328" s="27">
        <f t="shared" si="166"/>
        <v>2035</v>
      </c>
      <c r="P328" s="27">
        <f t="shared" si="166"/>
        <v>2036</v>
      </c>
      <c r="Q328" s="27">
        <f t="shared" si="166"/>
        <v>2037</v>
      </c>
      <c r="R328" s="27">
        <f t="shared" si="166"/>
        <v>2038</v>
      </c>
      <c r="S328" s="27">
        <f t="shared" si="166"/>
        <v>2039</v>
      </c>
      <c r="T328" s="27">
        <f t="shared" si="166"/>
        <v>2040</v>
      </c>
      <c r="U328" s="27">
        <f t="shared" ref="U328:AE328" si="167">T328+1</f>
        <v>2041</v>
      </c>
      <c r="V328" s="27">
        <f t="shared" si="167"/>
        <v>2042</v>
      </c>
      <c r="W328" s="27">
        <f t="shared" si="167"/>
        <v>2043</v>
      </c>
      <c r="X328" s="27">
        <f t="shared" si="167"/>
        <v>2044</v>
      </c>
      <c r="Y328" s="27">
        <f t="shared" si="167"/>
        <v>2045</v>
      </c>
      <c r="Z328" s="27">
        <f t="shared" si="167"/>
        <v>2046</v>
      </c>
      <c r="AA328" s="27">
        <f t="shared" si="167"/>
        <v>2047</v>
      </c>
      <c r="AB328" s="27">
        <f t="shared" si="167"/>
        <v>2048</v>
      </c>
      <c r="AC328" s="27">
        <f t="shared" si="167"/>
        <v>2049</v>
      </c>
      <c r="AD328" s="27">
        <f t="shared" si="167"/>
        <v>2050</v>
      </c>
      <c r="AE328" s="27">
        <f t="shared" si="167"/>
        <v>2051</v>
      </c>
      <c r="AF328" s="27" t="s">
        <v>13</v>
      </c>
      <c r="AG328" s="27"/>
      <c r="AH328" s="122" t="s">
        <v>294</v>
      </c>
      <c r="AI328" s="27"/>
      <c r="AJ328" s="27"/>
      <c r="AK328" s="27"/>
      <c r="AL328" s="27"/>
      <c r="AM328" s="27"/>
      <c r="AN328" s="27"/>
      <c r="AO328" s="27"/>
    </row>
    <row r="329" spans="1:41" x14ac:dyDescent="0.25">
      <c r="A329" s="27" t="s">
        <v>299</v>
      </c>
      <c r="B329" s="101">
        <f t="shared" ref="B329:T329" si="168">IF(B328-2021&lt;=$B$419,$B$323/$B$419,0)</f>
        <v>188.47840851329607</v>
      </c>
      <c r="C329" s="101">
        <f t="shared" si="168"/>
        <v>188.47840851329607</v>
      </c>
      <c r="D329" s="101">
        <f t="shared" si="168"/>
        <v>188.47840851329607</v>
      </c>
      <c r="E329" s="101">
        <f t="shared" si="168"/>
        <v>188.47840851329607</v>
      </c>
      <c r="F329" s="101">
        <f t="shared" si="168"/>
        <v>188.47840851329607</v>
      </c>
      <c r="G329" s="101">
        <f t="shared" si="168"/>
        <v>188.47840851329607</v>
      </c>
      <c r="H329" s="101">
        <f t="shared" si="168"/>
        <v>188.47840851329607</v>
      </c>
      <c r="I329" s="101">
        <f t="shared" si="168"/>
        <v>188.47840851329607</v>
      </c>
      <c r="J329" s="101">
        <f t="shared" si="168"/>
        <v>188.47840851329607</v>
      </c>
      <c r="K329" s="101">
        <f t="shared" si="168"/>
        <v>188.47840851329607</v>
      </c>
      <c r="L329" s="101">
        <f t="shared" si="168"/>
        <v>0</v>
      </c>
      <c r="M329" s="101">
        <f t="shared" si="168"/>
        <v>0</v>
      </c>
      <c r="N329" s="101">
        <f t="shared" si="168"/>
        <v>0</v>
      </c>
      <c r="O329" s="101">
        <f t="shared" si="168"/>
        <v>0</v>
      </c>
      <c r="P329" s="101">
        <f t="shared" si="168"/>
        <v>0</v>
      </c>
      <c r="Q329" s="101">
        <f t="shared" si="168"/>
        <v>0</v>
      </c>
      <c r="R329" s="101">
        <f t="shared" si="168"/>
        <v>0</v>
      </c>
      <c r="S329" s="101">
        <f t="shared" si="168"/>
        <v>0</v>
      </c>
      <c r="T329" s="101">
        <f t="shared" si="168"/>
        <v>0</v>
      </c>
      <c r="U329" s="101">
        <f t="shared" ref="U329" si="169">IF(U328-2021&lt;=$B$419,$B$323/$B$419,0)</f>
        <v>0</v>
      </c>
      <c r="V329" s="101">
        <f t="shared" ref="V329" si="170">IF(V328-2021&lt;=$B$419,$B$323/$B$419,0)</f>
        <v>0</v>
      </c>
      <c r="W329" s="101">
        <f t="shared" ref="W329" si="171">IF(W328-2021&lt;=$B$419,$B$323/$B$419,0)</f>
        <v>0</v>
      </c>
      <c r="X329" s="101">
        <f t="shared" ref="X329" si="172">IF(X328-2021&lt;=$B$419,$B$323/$B$419,0)</f>
        <v>0</v>
      </c>
      <c r="Y329" s="101">
        <f t="shared" ref="Y329" si="173">IF(Y328-2021&lt;=$B$419,$B$323/$B$419,0)</f>
        <v>0</v>
      </c>
      <c r="Z329" s="101">
        <f t="shared" ref="Z329" si="174">IF(Z328-2021&lt;=$B$419,$B$323/$B$419,0)</f>
        <v>0</v>
      </c>
      <c r="AA329" s="101">
        <f t="shared" ref="AA329" si="175">IF(AA328-2021&lt;=$B$419,$B$323/$B$419,0)</f>
        <v>0</v>
      </c>
      <c r="AB329" s="101">
        <f t="shared" ref="AB329" si="176">IF(AB328-2021&lt;=$B$419,$B$323/$B$419,0)</f>
        <v>0</v>
      </c>
      <c r="AC329" s="101">
        <f t="shared" ref="AC329" si="177">IF(AC328-2021&lt;=$B$419,$B$323/$B$419,0)</f>
        <v>0</v>
      </c>
      <c r="AD329" s="101">
        <f t="shared" ref="AD329" si="178">IF(AD328-2021&lt;=$B$419,$B$323/$B$419,0)</f>
        <v>0</v>
      </c>
      <c r="AE329" s="101">
        <f t="shared" ref="AE329" si="179">IF(AE328-2021&lt;=$B$419,$B$323/$B$419,0)</f>
        <v>0</v>
      </c>
      <c r="AF329" s="35">
        <f>SUM(B329:AE329)</f>
        <v>1884.7840851329604</v>
      </c>
      <c r="AH329" s="122" t="s">
        <v>299</v>
      </c>
    </row>
    <row r="330" spans="1:41" x14ac:dyDescent="0.25">
      <c r="A330" s="27" t="s">
        <v>300</v>
      </c>
      <c r="B330" s="101">
        <f>B329</f>
        <v>188.47840851329607</v>
      </c>
      <c r="C330" s="101">
        <f>B330+C329</f>
        <v>376.95681702659215</v>
      </c>
      <c r="D330" s="101">
        <f t="shared" ref="D330:T330" si="180">C330+D329</f>
        <v>565.43522553988828</v>
      </c>
      <c r="E330" s="101">
        <f t="shared" si="180"/>
        <v>753.9136340531843</v>
      </c>
      <c r="F330" s="101">
        <f t="shared" si="180"/>
        <v>942.39204256648031</v>
      </c>
      <c r="G330" s="101">
        <f t="shared" si="180"/>
        <v>1130.8704510797763</v>
      </c>
      <c r="H330" s="101">
        <f t="shared" si="180"/>
        <v>1319.3488595930723</v>
      </c>
      <c r="I330" s="101">
        <f t="shared" si="180"/>
        <v>1507.8272681063684</v>
      </c>
      <c r="J330" s="101">
        <f t="shared" si="180"/>
        <v>1696.3056766196644</v>
      </c>
      <c r="K330" s="101">
        <f t="shared" si="180"/>
        <v>1884.7840851329604</v>
      </c>
      <c r="L330" s="101">
        <f t="shared" si="180"/>
        <v>1884.7840851329604</v>
      </c>
      <c r="M330" s="101">
        <f t="shared" si="180"/>
        <v>1884.7840851329604</v>
      </c>
      <c r="N330" s="101">
        <f t="shared" si="180"/>
        <v>1884.7840851329604</v>
      </c>
      <c r="O330" s="101">
        <f t="shared" si="180"/>
        <v>1884.7840851329604</v>
      </c>
      <c r="P330" s="101">
        <f t="shared" si="180"/>
        <v>1884.7840851329604</v>
      </c>
      <c r="Q330" s="101">
        <f t="shared" si="180"/>
        <v>1884.7840851329604</v>
      </c>
      <c r="R330" s="101">
        <f t="shared" si="180"/>
        <v>1884.7840851329604</v>
      </c>
      <c r="S330" s="101">
        <f t="shared" si="180"/>
        <v>1884.7840851329604</v>
      </c>
      <c r="T330" s="101">
        <f t="shared" si="180"/>
        <v>1884.7840851329604</v>
      </c>
      <c r="U330" s="101">
        <f t="shared" ref="U330" si="181">T330+U329</f>
        <v>1884.7840851329604</v>
      </c>
      <c r="V330" s="101">
        <f t="shared" ref="V330" si="182">U330+V329</f>
        <v>1884.7840851329604</v>
      </c>
      <c r="W330" s="101">
        <f t="shared" ref="W330" si="183">V330+W329</f>
        <v>1884.7840851329604</v>
      </c>
      <c r="X330" s="101">
        <f t="shared" ref="X330" si="184">W330+X329</f>
        <v>1884.7840851329604</v>
      </c>
      <c r="Y330" s="101">
        <f t="shared" ref="Y330" si="185">X330+Y329</f>
        <v>1884.7840851329604</v>
      </c>
      <c r="Z330" s="101">
        <f t="shared" ref="Z330" si="186">Y330+Z329</f>
        <v>1884.7840851329604</v>
      </c>
      <c r="AA330" s="101">
        <f t="shared" ref="AA330" si="187">Z330+AA329</f>
        <v>1884.7840851329604</v>
      </c>
      <c r="AB330" s="101">
        <f t="shared" ref="AB330" si="188">AA330+AB329</f>
        <v>1884.7840851329604</v>
      </c>
      <c r="AC330" s="101">
        <f t="shared" ref="AC330" si="189">AB330+AC329</f>
        <v>1884.7840851329604</v>
      </c>
      <c r="AD330" s="101">
        <f t="shared" ref="AD330" si="190">AC330+AD329</f>
        <v>1884.7840851329604</v>
      </c>
      <c r="AE330" s="101">
        <f t="shared" ref="AE330" si="191">AD330+AE329</f>
        <v>1884.7840851329604</v>
      </c>
      <c r="AF330" s="1"/>
      <c r="AH330" s="122" t="s">
        <v>300</v>
      </c>
    </row>
    <row r="331" spans="1:41" x14ac:dyDescent="0.25">
      <c r="A331" s="27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"/>
      <c r="AH331" s="122"/>
    </row>
    <row r="332" spans="1:41" x14ac:dyDescent="0.25">
      <c r="A332" s="27" t="s">
        <v>297</v>
      </c>
      <c r="B332" s="117">
        <v>0</v>
      </c>
      <c r="C332" s="119">
        <f>(C328-$B328)*0.002375</f>
        <v>2.3749999999999999E-3</v>
      </c>
      <c r="D332" s="119">
        <f t="shared" ref="D332:AE332" si="192">(D328-$B328)*0.002375</f>
        <v>4.7499999999999999E-3</v>
      </c>
      <c r="E332" s="119">
        <f t="shared" si="192"/>
        <v>7.1249999999999994E-3</v>
      </c>
      <c r="F332" s="119">
        <f t="shared" si="192"/>
        <v>9.4999999999999998E-3</v>
      </c>
      <c r="G332" s="119">
        <f t="shared" si="192"/>
        <v>1.1875E-2</v>
      </c>
      <c r="H332" s="119">
        <f t="shared" si="192"/>
        <v>1.4249999999999999E-2</v>
      </c>
      <c r="I332" s="119">
        <f t="shared" si="192"/>
        <v>1.6625000000000001E-2</v>
      </c>
      <c r="J332" s="119">
        <f t="shared" si="192"/>
        <v>1.9E-2</v>
      </c>
      <c r="K332" s="119">
        <f t="shared" si="192"/>
        <v>2.1374999999999998E-2</v>
      </c>
      <c r="L332" s="119">
        <f t="shared" si="192"/>
        <v>2.375E-2</v>
      </c>
      <c r="M332" s="119">
        <f t="shared" si="192"/>
        <v>2.6124999999999999E-2</v>
      </c>
      <c r="N332" s="119">
        <f t="shared" si="192"/>
        <v>2.8499999999999998E-2</v>
      </c>
      <c r="O332" s="119">
        <f t="shared" si="192"/>
        <v>3.0875E-2</v>
      </c>
      <c r="P332" s="119">
        <f t="shared" si="192"/>
        <v>3.3250000000000002E-2</v>
      </c>
      <c r="Q332" s="119">
        <f t="shared" si="192"/>
        <v>3.5624999999999997E-2</v>
      </c>
      <c r="R332" s="119">
        <f t="shared" si="192"/>
        <v>3.7999999999999999E-2</v>
      </c>
      <c r="S332" s="119">
        <f t="shared" si="192"/>
        <v>4.0375000000000001E-2</v>
      </c>
      <c r="T332" s="119">
        <f t="shared" si="192"/>
        <v>4.2749999999999996E-2</v>
      </c>
      <c r="U332" s="119">
        <f t="shared" si="192"/>
        <v>4.5124999999999998E-2</v>
      </c>
      <c r="V332" s="119">
        <f t="shared" si="192"/>
        <v>4.7500000000000001E-2</v>
      </c>
      <c r="W332" s="119">
        <f t="shared" si="192"/>
        <v>4.9874999999999996E-2</v>
      </c>
      <c r="X332" s="119">
        <f t="shared" si="192"/>
        <v>5.2249999999999998E-2</v>
      </c>
      <c r="Y332" s="119">
        <f t="shared" si="192"/>
        <v>5.4625E-2</v>
      </c>
      <c r="Z332" s="119">
        <f t="shared" si="192"/>
        <v>5.6999999999999995E-2</v>
      </c>
      <c r="AA332" s="119">
        <f t="shared" si="192"/>
        <v>5.9374999999999997E-2</v>
      </c>
      <c r="AB332" s="119">
        <f t="shared" si="192"/>
        <v>6.1749999999999999E-2</v>
      </c>
      <c r="AC332" s="119">
        <f t="shared" si="192"/>
        <v>6.4125000000000001E-2</v>
      </c>
      <c r="AD332" s="119">
        <f t="shared" si="192"/>
        <v>6.6500000000000004E-2</v>
      </c>
      <c r="AE332" s="119">
        <f t="shared" si="192"/>
        <v>6.8874999999999992E-2</v>
      </c>
      <c r="AF332" s="114"/>
      <c r="AH332" s="122" t="s">
        <v>297</v>
      </c>
    </row>
    <row r="333" spans="1:41" x14ac:dyDescent="0.25">
      <c r="A333" s="27" t="s">
        <v>303</v>
      </c>
      <c r="B333" s="116">
        <f>B330*B332</f>
        <v>0</v>
      </c>
      <c r="C333" s="116">
        <f t="shared" ref="C333:T333" si="193">C330*C332</f>
        <v>0.89527244043815635</v>
      </c>
      <c r="D333" s="116">
        <f t="shared" si="193"/>
        <v>2.6858173213144694</v>
      </c>
      <c r="E333" s="116">
        <f t="shared" si="193"/>
        <v>5.3716346426289379</v>
      </c>
      <c r="F333" s="116">
        <f t="shared" si="193"/>
        <v>8.9527244043815628</v>
      </c>
      <c r="G333" s="116">
        <f t="shared" si="193"/>
        <v>13.429086606572344</v>
      </c>
      <c r="H333" s="116">
        <f t="shared" si="193"/>
        <v>18.800721249201278</v>
      </c>
      <c r="I333" s="116">
        <f t="shared" si="193"/>
        <v>25.067628332268374</v>
      </c>
      <c r="J333" s="116">
        <f t="shared" si="193"/>
        <v>32.229807855773622</v>
      </c>
      <c r="K333" s="116">
        <f t="shared" si="193"/>
        <v>40.287259819717022</v>
      </c>
      <c r="L333" s="116">
        <f t="shared" si="193"/>
        <v>44.763622021907807</v>
      </c>
      <c r="M333" s="116">
        <f t="shared" si="193"/>
        <v>49.239984224098592</v>
      </c>
      <c r="N333" s="116">
        <f t="shared" si="193"/>
        <v>53.71634642628937</v>
      </c>
      <c r="O333" s="116">
        <f t="shared" si="193"/>
        <v>58.192708628480155</v>
      </c>
      <c r="P333" s="116">
        <f t="shared" si="193"/>
        <v>62.66907083067094</v>
      </c>
      <c r="Q333" s="116">
        <f t="shared" si="193"/>
        <v>67.145433032861703</v>
      </c>
      <c r="R333" s="116">
        <f t="shared" si="193"/>
        <v>71.621795235052488</v>
      </c>
      <c r="S333" s="116">
        <f t="shared" si="193"/>
        <v>76.098157437243273</v>
      </c>
      <c r="T333" s="116">
        <f t="shared" si="193"/>
        <v>80.574519639434044</v>
      </c>
      <c r="U333" s="116">
        <f t="shared" ref="U333" si="194">U330*U332</f>
        <v>85.050881841624829</v>
      </c>
      <c r="V333" s="116">
        <f t="shared" ref="V333" si="195">V330*V332</f>
        <v>89.527244043815614</v>
      </c>
      <c r="W333" s="116">
        <f t="shared" ref="W333" si="196">W330*W332</f>
        <v>94.003606246006399</v>
      </c>
      <c r="X333" s="116">
        <f t="shared" ref="X333" si="197">X330*X332</f>
        <v>98.479968448197184</v>
      </c>
      <c r="Y333" s="116">
        <f t="shared" ref="Y333" si="198">Y330*Y332</f>
        <v>102.95633065038797</v>
      </c>
      <c r="Z333" s="116">
        <f t="shared" ref="Z333" si="199">Z330*Z332</f>
        <v>107.43269285257874</v>
      </c>
      <c r="AA333" s="116">
        <f t="shared" ref="AA333" si="200">AA330*AA332</f>
        <v>111.90905505476952</v>
      </c>
      <c r="AB333" s="116">
        <f t="shared" ref="AB333" si="201">AB330*AB332</f>
        <v>116.38541725696031</v>
      </c>
      <c r="AC333" s="116">
        <f t="shared" ref="AC333" si="202">AC330*AC332</f>
        <v>120.86177945915109</v>
      </c>
      <c r="AD333" s="116">
        <f t="shared" ref="AD333" si="203">AD330*AD332</f>
        <v>125.33814166134188</v>
      </c>
      <c r="AE333" s="116">
        <f t="shared" ref="AE333" si="204">AE330*AE332</f>
        <v>129.81450386353262</v>
      </c>
      <c r="AF333" s="35">
        <f>SUM(B333:AE333)</f>
        <v>1893.5012115267007</v>
      </c>
      <c r="AH333" s="122" t="s">
        <v>303</v>
      </c>
    </row>
    <row r="334" spans="1:41" x14ac:dyDescent="0.25">
      <c r="A334" s="27" t="s">
        <v>301</v>
      </c>
      <c r="B334" s="116">
        <f>B333</f>
        <v>0</v>
      </c>
      <c r="C334" s="116">
        <f>B334+C333</f>
        <v>0.89527244043815635</v>
      </c>
      <c r="D334" s="116">
        <f t="shared" ref="D334:T334" si="205">C334+D333</f>
        <v>3.5810897617526258</v>
      </c>
      <c r="E334" s="116">
        <f t="shared" si="205"/>
        <v>8.9527244043815628</v>
      </c>
      <c r="F334" s="116">
        <f t="shared" si="205"/>
        <v>17.905448808763126</v>
      </c>
      <c r="G334" s="116">
        <f t="shared" si="205"/>
        <v>31.33453541533547</v>
      </c>
      <c r="H334" s="116">
        <f t="shared" si="205"/>
        <v>50.135256664536747</v>
      </c>
      <c r="I334" s="116">
        <f t="shared" si="205"/>
        <v>75.202884996805125</v>
      </c>
      <c r="J334" s="116">
        <f t="shared" si="205"/>
        <v>107.43269285257875</v>
      </c>
      <c r="K334" s="116">
        <f t="shared" si="205"/>
        <v>147.71995267229579</v>
      </c>
      <c r="L334" s="116">
        <f t="shared" si="205"/>
        <v>192.48357469420358</v>
      </c>
      <c r="M334" s="116">
        <f t="shared" si="205"/>
        <v>241.72355891830216</v>
      </c>
      <c r="N334" s="116">
        <f t="shared" si="205"/>
        <v>295.43990534459152</v>
      </c>
      <c r="O334" s="116">
        <f t="shared" si="205"/>
        <v>353.63261397307167</v>
      </c>
      <c r="P334" s="116">
        <f t="shared" si="205"/>
        <v>416.3016848037426</v>
      </c>
      <c r="Q334" s="116">
        <f t="shared" si="205"/>
        <v>483.44711783660432</v>
      </c>
      <c r="R334" s="116">
        <f t="shared" si="205"/>
        <v>555.06891307165677</v>
      </c>
      <c r="S334" s="116">
        <f t="shared" si="205"/>
        <v>631.1670705089</v>
      </c>
      <c r="T334" s="116">
        <f t="shared" si="205"/>
        <v>711.74159014833401</v>
      </c>
      <c r="U334" s="116">
        <f t="shared" ref="U334" si="206">T334+U333</f>
        <v>796.79247198995881</v>
      </c>
      <c r="V334" s="116">
        <f t="shared" ref="V334" si="207">U334+V333</f>
        <v>886.3197160337744</v>
      </c>
      <c r="W334" s="116">
        <f t="shared" ref="W334" si="208">V334+W333</f>
        <v>980.32332227978077</v>
      </c>
      <c r="X334" s="116">
        <f t="shared" ref="X334" si="209">W334+X333</f>
        <v>1078.803290727978</v>
      </c>
      <c r="Y334" s="116">
        <f t="shared" ref="Y334" si="210">X334+Y333</f>
        <v>1181.7596213783661</v>
      </c>
      <c r="Z334" s="116">
        <f t="shared" ref="Z334" si="211">Y334+Z333</f>
        <v>1289.1923142309449</v>
      </c>
      <c r="AA334" s="116">
        <f t="shared" ref="AA334" si="212">Z334+AA333</f>
        <v>1401.1013692857146</v>
      </c>
      <c r="AB334" s="116">
        <f t="shared" ref="AB334" si="213">AA334+AB333</f>
        <v>1517.486786542675</v>
      </c>
      <c r="AC334" s="116">
        <f t="shared" ref="AC334" si="214">AB334+AC333</f>
        <v>1638.3485660018262</v>
      </c>
      <c r="AD334" s="116">
        <f t="shared" ref="AD334" si="215">AC334+AD333</f>
        <v>1763.6867076631681</v>
      </c>
      <c r="AE334" s="116">
        <f t="shared" ref="AE334" si="216">AD334+AE333</f>
        <v>1893.5012115267007</v>
      </c>
      <c r="AF334" s="35"/>
      <c r="AH334" s="122" t="s">
        <v>301</v>
      </c>
    </row>
    <row r="335" spans="1:41" x14ac:dyDescent="0.25">
      <c r="A335" s="27" t="s">
        <v>298</v>
      </c>
      <c r="B335" s="101">
        <f>B330-B334</f>
        <v>188.47840851329607</v>
      </c>
      <c r="C335" s="101">
        <f t="shared" ref="C335:T335" si="217">C330-C334</f>
        <v>376.06154458615401</v>
      </c>
      <c r="D335" s="101">
        <f t="shared" si="217"/>
        <v>561.85413577813563</v>
      </c>
      <c r="E335" s="101">
        <f t="shared" si="217"/>
        <v>744.96090964880273</v>
      </c>
      <c r="F335" s="101">
        <f t="shared" si="217"/>
        <v>924.48659375771717</v>
      </c>
      <c r="G335" s="101">
        <f t="shared" si="217"/>
        <v>1099.5359156644408</v>
      </c>
      <c r="H335" s="101">
        <f t="shared" si="217"/>
        <v>1269.2136029285357</v>
      </c>
      <c r="I335" s="101">
        <f t="shared" si="217"/>
        <v>1432.6243831095633</v>
      </c>
      <c r="J335" s="101">
        <f t="shared" si="217"/>
        <v>1588.8729837670855</v>
      </c>
      <c r="K335" s="101">
        <f t="shared" si="217"/>
        <v>1737.0641324606645</v>
      </c>
      <c r="L335" s="101">
        <f t="shared" si="217"/>
        <v>1692.3005104387569</v>
      </c>
      <c r="M335" s="101">
        <f t="shared" si="217"/>
        <v>1643.0605262146582</v>
      </c>
      <c r="N335" s="101">
        <f t="shared" si="217"/>
        <v>1589.3441797883688</v>
      </c>
      <c r="O335" s="101">
        <f t="shared" si="217"/>
        <v>1531.1514711598888</v>
      </c>
      <c r="P335" s="101">
        <f t="shared" si="217"/>
        <v>1468.4824003292179</v>
      </c>
      <c r="Q335" s="101">
        <f t="shared" si="217"/>
        <v>1401.3369672963561</v>
      </c>
      <c r="R335" s="101">
        <f t="shared" si="217"/>
        <v>1329.7151720613037</v>
      </c>
      <c r="S335" s="101">
        <f t="shared" si="217"/>
        <v>1253.6170146240604</v>
      </c>
      <c r="T335" s="101">
        <f t="shared" si="217"/>
        <v>1173.0424949846265</v>
      </c>
      <c r="U335" s="101">
        <f t="shared" ref="U335" si="218">U330-U334</f>
        <v>1087.9916131430016</v>
      </c>
      <c r="V335" s="101">
        <f t="shared" ref="V335" si="219">V330-V334</f>
        <v>998.464369099186</v>
      </c>
      <c r="W335" s="101">
        <f t="shared" ref="W335" si="220">W330-W334</f>
        <v>904.46076285317963</v>
      </c>
      <c r="X335" s="101">
        <f t="shared" ref="X335" si="221">X330-X334</f>
        <v>805.98079440498236</v>
      </c>
      <c r="Y335" s="101">
        <f t="shared" ref="Y335" si="222">Y330-Y334</f>
        <v>703.02446375459431</v>
      </c>
      <c r="Z335" s="101">
        <f t="shared" ref="Z335" si="223">Z330-Z334</f>
        <v>595.59177090201547</v>
      </c>
      <c r="AA335" s="101">
        <f t="shared" ref="AA335" si="224">AA330-AA334</f>
        <v>483.68271584724584</v>
      </c>
      <c r="AB335" s="101">
        <f t="shared" ref="AB335" si="225">AB330-AB334</f>
        <v>367.29729859028544</v>
      </c>
      <c r="AC335" s="101">
        <f t="shared" ref="AC335" si="226">AC330-AC334</f>
        <v>246.43551913113424</v>
      </c>
      <c r="AD335" s="101">
        <f t="shared" ref="AD335" si="227">AD330-AD334</f>
        <v>121.09737746979226</v>
      </c>
      <c r="AE335" s="101">
        <f t="shared" ref="AE335" si="228">AE330-AE334</f>
        <v>-8.7171263937402728</v>
      </c>
      <c r="AF335" s="1"/>
      <c r="AH335" s="122" t="s">
        <v>298</v>
      </c>
    </row>
    <row r="336" spans="1:41" x14ac:dyDescent="0.25">
      <c r="A336" s="27" t="s">
        <v>320</v>
      </c>
      <c r="B336" s="124">
        <f>$B$421+(B328-$B328)*$B428</f>
        <v>0.03</v>
      </c>
      <c r="C336" s="124">
        <f t="shared" ref="C336:AE336" si="229">$B$421+(C328-$B328)*$B428</f>
        <v>3.1E-2</v>
      </c>
      <c r="D336" s="124">
        <f t="shared" si="229"/>
        <v>3.2000000000000001E-2</v>
      </c>
      <c r="E336" s="124">
        <f t="shared" si="229"/>
        <v>3.3000000000000002E-2</v>
      </c>
      <c r="F336" s="124">
        <f t="shared" si="229"/>
        <v>3.4000000000000002E-2</v>
      </c>
      <c r="G336" s="124">
        <f t="shared" si="229"/>
        <v>3.4999999999999996E-2</v>
      </c>
      <c r="H336" s="124">
        <f t="shared" si="229"/>
        <v>3.5999999999999997E-2</v>
      </c>
      <c r="I336" s="124">
        <f t="shared" si="229"/>
        <v>3.6999999999999998E-2</v>
      </c>
      <c r="J336" s="124">
        <f t="shared" si="229"/>
        <v>3.7999999999999999E-2</v>
      </c>
      <c r="K336" s="124">
        <f t="shared" si="229"/>
        <v>3.9E-2</v>
      </c>
      <c r="L336" s="124">
        <f t="shared" si="229"/>
        <v>0.04</v>
      </c>
      <c r="M336" s="124">
        <f t="shared" si="229"/>
        <v>4.0999999999999995E-2</v>
      </c>
      <c r="N336" s="124">
        <f t="shared" si="229"/>
        <v>4.1999999999999996E-2</v>
      </c>
      <c r="O336" s="124">
        <f t="shared" si="229"/>
        <v>4.2999999999999997E-2</v>
      </c>
      <c r="P336" s="124">
        <f t="shared" si="229"/>
        <v>4.3999999999999997E-2</v>
      </c>
      <c r="Q336" s="124">
        <f t="shared" si="229"/>
        <v>4.4999999999999998E-2</v>
      </c>
      <c r="R336" s="124">
        <f t="shared" si="229"/>
        <v>4.5999999999999999E-2</v>
      </c>
      <c r="S336" s="124">
        <f t="shared" si="229"/>
        <v>4.7E-2</v>
      </c>
      <c r="T336" s="124">
        <f t="shared" si="229"/>
        <v>4.8000000000000001E-2</v>
      </c>
      <c r="U336" s="124">
        <f t="shared" si="229"/>
        <v>4.9000000000000002E-2</v>
      </c>
      <c r="V336" s="124">
        <f t="shared" si="229"/>
        <v>0.05</v>
      </c>
      <c r="W336" s="124">
        <f t="shared" si="229"/>
        <v>5.1000000000000004E-2</v>
      </c>
      <c r="X336" s="124">
        <f t="shared" si="229"/>
        <v>5.1999999999999998E-2</v>
      </c>
      <c r="Y336" s="124">
        <f t="shared" si="229"/>
        <v>5.2999999999999999E-2</v>
      </c>
      <c r="Z336" s="124">
        <f t="shared" si="229"/>
        <v>5.3999999999999999E-2</v>
      </c>
      <c r="AA336" s="124">
        <f t="shared" si="229"/>
        <v>5.5E-2</v>
      </c>
      <c r="AB336" s="124">
        <f t="shared" si="229"/>
        <v>5.6000000000000001E-2</v>
      </c>
      <c r="AC336" s="124">
        <f t="shared" si="229"/>
        <v>5.6999999999999995E-2</v>
      </c>
      <c r="AD336" s="124">
        <f t="shared" si="229"/>
        <v>5.7999999999999996E-2</v>
      </c>
      <c r="AE336" s="124">
        <f t="shared" si="229"/>
        <v>5.8999999999999997E-2</v>
      </c>
      <c r="AF336" s="1"/>
      <c r="AH336" s="122" t="s">
        <v>320</v>
      </c>
    </row>
    <row r="337" spans="1:34" x14ac:dyDescent="0.25">
      <c r="A337" s="27" t="s">
        <v>321</v>
      </c>
      <c r="B337" s="113">
        <f>B336*B335/2</f>
        <v>2.8271761276994409</v>
      </c>
      <c r="C337" s="113">
        <f>C336*(B335+C329/2)</f>
        <v>8.7642459958682686</v>
      </c>
      <c r="D337" s="113">
        <f t="shared" ref="D337:AE337" si="230">D336*(C335+D329/2)</f>
        <v>15.049623962969665</v>
      </c>
      <c r="E337" s="113">
        <f t="shared" si="230"/>
        <v>21.651080221147861</v>
      </c>
      <c r="F337" s="113">
        <f t="shared" si="230"/>
        <v>28.532803872785326</v>
      </c>
      <c r="G337" s="113">
        <f t="shared" si="230"/>
        <v>35.655402930502781</v>
      </c>
      <c r="H337" s="113">
        <f t="shared" si="230"/>
        <v>42.975904317159198</v>
      </c>
      <c r="I337" s="113">
        <f t="shared" si="230"/>
        <v>50.447753865851794</v>
      </c>
      <c r="J337" s="113">
        <f t="shared" si="230"/>
        <v>58.02081631991603</v>
      </c>
      <c r="K337" s="113">
        <f t="shared" si="230"/>
        <v>65.641375332925605</v>
      </c>
      <c r="L337" s="113">
        <f t="shared" si="230"/>
        <v>69.482565298426579</v>
      </c>
      <c r="M337" s="113">
        <f t="shared" si="230"/>
        <v>69.384320927989023</v>
      </c>
      <c r="N337" s="113">
        <f t="shared" si="230"/>
        <v>69.008542101015635</v>
      </c>
      <c r="O337" s="113">
        <f t="shared" si="230"/>
        <v>68.341799730899851</v>
      </c>
      <c r="P337" s="113">
        <f t="shared" si="230"/>
        <v>67.370664731035106</v>
      </c>
      <c r="Q337" s="113">
        <f t="shared" si="230"/>
        <v>66.081708014814808</v>
      </c>
      <c r="R337" s="113">
        <f t="shared" si="230"/>
        <v>64.461500495632379</v>
      </c>
      <c r="S337" s="113">
        <f t="shared" si="230"/>
        <v>62.496613086881275</v>
      </c>
      <c r="T337" s="113">
        <f t="shared" si="230"/>
        <v>60.173616701954899</v>
      </c>
      <c r="U337" s="113">
        <f t="shared" si="230"/>
        <v>57.479082254246698</v>
      </c>
      <c r="V337" s="113">
        <f t="shared" si="230"/>
        <v>54.399580657150082</v>
      </c>
      <c r="W337" s="113">
        <f t="shared" si="230"/>
        <v>50.921682824058493</v>
      </c>
      <c r="X337" s="113">
        <f t="shared" si="230"/>
        <v>47.031959668365339</v>
      </c>
      <c r="Y337" s="113">
        <f t="shared" si="230"/>
        <v>42.716982103464062</v>
      </c>
      <c r="Z337" s="113">
        <f t="shared" si="230"/>
        <v>37.963321042748092</v>
      </c>
      <c r="AA337" s="113">
        <f t="shared" si="230"/>
        <v>32.75754739961085</v>
      </c>
      <c r="AB337" s="113">
        <f t="shared" si="230"/>
        <v>27.086232087445769</v>
      </c>
      <c r="AC337" s="113">
        <f t="shared" si="230"/>
        <v>20.935946019646266</v>
      </c>
      <c r="AD337" s="113">
        <f t="shared" si="230"/>
        <v>14.293260109605786</v>
      </c>
      <c r="AE337" s="113">
        <f t="shared" si="230"/>
        <v>7.1447452707177428</v>
      </c>
      <c r="AF337" s="18">
        <f>SUM(B337:AE337)</f>
        <v>1319.0978534725346</v>
      </c>
      <c r="AH337" s="122" t="s">
        <v>302</v>
      </c>
    </row>
    <row r="338" spans="1:34" x14ac:dyDescent="0.25">
      <c r="A338" s="27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8"/>
      <c r="AH338" s="122"/>
    </row>
    <row r="339" spans="1:34" x14ac:dyDescent="0.25">
      <c r="A339" s="27" t="s">
        <v>304</v>
      </c>
      <c r="B339" s="113">
        <f>B333+B337</f>
        <v>2.8271761276994409</v>
      </c>
      <c r="C339" s="113">
        <f t="shared" ref="C339:T339" si="231">C333+C337</f>
        <v>9.6595184363064241</v>
      </c>
      <c r="D339" s="113">
        <f t="shared" si="231"/>
        <v>17.735441284284136</v>
      </c>
      <c r="E339" s="113">
        <f t="shared" si="231"/>
        <v>27.022714863776798</v>
      </c>
      <c r="F339" s="113">
        <f t="shared" si="231"/>
        <v>37.485528277166893</v>
      </c>
      <c r="G339" s="113">
        <f t="shared" si="231"/>
        <v>49.084489537075129</v>
      </c>
      <c r="H339" s="113">
        <f t="shared" si="231"/>
        <v>61.77662556636048</v>
      </c>
      <c r="I339" s="113">
        <f t="shared" si="231"/>
        <v>75.515382198120165</v>
      </c>
      <c r="J339" s="113">
        <f t="shared" si="231"/>
        <v>90.250624175689651</v>
      </c>
      <c r="K339" s="113">
        <f t="shared" si="231"/>
        <v>105.92863515264263</v>
      </c>
      <c r="L339" s="113">
        <f t="shared" si="231"/>
        <v>114.24618732033439</v>
      </c>
      <c r="M339" s="113">
        <f t="shared" si="231"/>
        <v>118.62430515208762</v>
      </c>
      <c r="N339" s="113">
        <f t="shared" si="231"/>
        <v>122.72488852730501</v>
      </c>
      <c r="O339" s="113">
        <f t="shared" si="231"/>
        <v>126.53450835938</v>
      </c>
      <c r="P339" s="113">
        <f t="shared" si="231"/>
        <v>130.03973556170604</v>
      </c>
      <c r="Q339" s="113">
        <f t="shared" si="231"/>
        <v>133.22714104767653</v>
      </c>
      <c r="R339" s="113">
        <f t="shared" si="231"/>
        <v>136.08329573068488</v>
      </c>
      <c r="S339" s="113">
        <f t="shared" si="231"/>
        <v>138.59477052412456</v>
      </c>
      <c r="T339" s="113">
        <f t="shared" si="231"/>
        <v>140.74813634138894</v>
      </c>
      <c r="U339" s="113">
        <f t="shared" ref="U339" si="232">U333+U337</f>
        <v>142.52996409587152</v>
      </c>
      <c r="V339" s="113">
        <f t="shared" ref="V339" si="233">V333+V337</f>
        <v>143.92682470096571</v>
      </c>
      <c r="W339" s="113">
        <f t="shared" ref="W339" si="234">W333+W337</f>
        <v>144.92528907006488</v>
      </c>
      <c r="X339" s="113">
        <f t="shared" ref="X339" si="235">X333+X337</f>
        <v>145.51192811656253</v>
      </c>
      <c r="Y339" s="113">
        <f t="shared" ref="Y339" si="236">Y333+Y337</f>
        <v>145.67331275385203</v>
      </c>
      <c r="Z339" s="113">
        <f t="shared" ref="Z339" si="237">Z333+Z337</f>
        <v>145.39601389532683</v>
      </c>
      <c r="AA339" s="113">
        <f t="shared" ref="AA339" si="238">AA333+AA337</f>
        <v>144.66660245438038</v>
      </c>
      <c r="AB339" s="113">
        <f t="shared" ref="AB339" si="239">AB333+AB337</f>
        <v>143.47164934440607</v>
      </c>
      <c r="AC339" s="113">
        <f t="shared" ref="AC339" si="240">AC333+AC337</f>
        <v>141.79772547879736</v>
      </c>
      <c r="AD339" s="113">
        <f t="shared" ref="AD339" si="241">AD333+AD337</f>
        <v>139.63140177094766</v>
      </c>
      <c r="AE339" s="113">
        <f t="shared" ref="AE339" si="242">AE333+AE337</f>
        <v>136.95924913425037</v>
      </c>
      <c r="AF339" s="18">
        <f>SUM(B339:AE339)</f>
        <v>3212.599064999235</v>
      </c>
      <c r="AH339" s="122" t="s">
        <v>304</v>
      </c>
    </row>
    <row r="340" spans="1:34" x14ac:dyDescent="0.25">
      <c r="A340" s="27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"/>
      <c r="AH340" s="122"/>
    </row>
    <row r="341" spans="1:34" x14ac:dyDescent="0.25">
      <c r="A341" s="27" t="s">
        <v>307</v>
      </c>
      <c r="B341" s="118">
        <f>D323</f>
        <v>5.4781962055806432E-2</v>
      </c>
      <c r="C341" s="118">
        <f>B341+$B$423</f>
        <v>5.6281962055806434E-2</v>
      </c>
      <c r="D341" s="118">
        <f t="shared" ref="D341:T341" si="243">C341+$B$423</f>
        <v>5.7781962055806435E-2</v>
      </c>
      <c r="E341" s="118">
        <f t="shared" si="243"/>
        <v>5.9281962055806436E-2</v>
      </c>
      <c r="F341" s="118">
        <f t="shared" si="243"/>
        <v>6.0781962055806438E-2</v>
      </c>
      <c r="G341" s="118">
        <f t="shared" si="243"/>
        <v>6.2281962055806439E-2</v>
      </c>
      <c r="H341" s="118">
        <f t="shared" si="243"/>
        <v>6.378196205580644E-2</v>
      </c>
      <c r="I341" s="118">
        <f t="shared" si="243"/>
        <v>6.5281962055806442E-2</v>
      </c>
      <c r="J341" s="118">
        <f t="shared" si="243"/>
        <v>6.6781962055806443E-2</v>
      </c>
      <c r="K341" s="118">
        <f t="shared" si="243"/>
        <v>6.8281962055806444E-2</v>
      </c>
      <c r="L341" s="118">
        <f t="shared" si="243"/>
        <v>6.9781962055806446E-2</v>
      </c>
      <c r="M341" s="118">
        <f t="shared" si="243"/>
        <v>7.1281962055806447E-2</v>
      </c>
      <c r="N341" s="118">
        <f t="shared" si="243"/>
        <v>7.2781962055806448E-2</v>
      </c>
      <c r="O341" s="118">
        <f t="shared" si="243"/>
        <v>7.428196205580645E-2</v>
      </c>
      <c r="P341" s="118">
        <f t="shared" si="243"/>
        <v>7.5781962055806451E-2</v>
      </c>
      <c r="Q341" s="118">
        <f t="shared" si="243"/>
        <v>7.7281962055806452E-2</v>
      </c>
      <c r="R341" s="118">
        <f t="shared" si="243"/>
        <v>7.8781962055806454E-2</v>
      </c>
      <c r="S341" s="118">
        <f t="shared" si="243"/>
        <v>8.0281962055806455E-2</v>
      </c>
      <c r="T341" s="118">
        <f t="shared" si="243"/>
        <v>8.1781962055806456E-2</v>
      </c>
      <c r="U341" s="118">
        <f t="shared" ref="U341:AE341" si="244">T341+$B$423</f>
        <v>8.3281962055806458E-2</v>
      </c>
      <c r="V341" s="118">
        <f t="shared" si="244"/>
        <v>8.4781962055806459E-2</v>
      </c>
      <c r="W341" s="118">
        <f t="shared" si="244"/>
        <v>8.628196205580646E-2</v>
      </c>
      <c r="X341" s="118">
        <f t="shared" si="244"/>
        <v>8.7781962055806462E-2</v>
      </c>
      <c r="Y341" s="118">
        <f t="shared" si="244"/>
        <v>8.9281962055806463E-2</v>
      </c>
      <c r="Z341" s="118">
        <f t="shared" si="244"/>
        <v>9.0781962055806464E-2</v>
      </c>
      <c r="AA341" s="118">
        <f t="shared" si="244"/>
        <v>9.2281962055806466E-2</v>
      </c>
      <c r="AB341" s="118">
        <f t="shared" si="244"/>
        <v>9.3781962055806467E-2</v>
      </c>
      <c r="AC341" s="118">
        <f t="shared" si="244"/>
        <v>9.5281962055806468E-2</v>
      </c>
      <c r="AD341" s="118">
        <f t="shared" si="244"/>
        <v>9.678196205580647E-2</v>
      </c>
      <c r="AE341" s="118">
        <f t="shared" si="244"/>
        <v>9.8281962055806471E-2</v>
      </c>
      <c r="AF341" s="1"/>
      <c r="AH341" s="122" t="s">
        <v>307</v>
      </c>
    </row>
    <row r="342" spans="1:34" x14ac:dyDescent="0.25">
      <c r="A342" s="27" t="s">
        <v>305</v>
      </c>
      <c r="B342" s="113">
        <f>D323*B330/2</f>
        <v>5.1626085117570844</v>
      </c>
      <c r="C342" s="113">
        <f>(B330+C329/2)*C341</f>
        <v>15.911901954426172</v>
      </c>
      <c r="D342" s="113">
        <f t="shared" ref="D342:T342" si="245">(C330+D329/2)*D341</f>
        <v>27.226630622635145</v>
      </c>
      <c r="E342" s="113">
        <f t="shared" si="245"/>
        <v>39.106794516384014</v>
      </c>
      <c r="F342" s="113">
        <f t="shared" si="245"/>
        <v>51.552393635672757</v>
      </c>
      <c r="G342" s="113">
        <f t="shared" si="245"/>
        <v>64.563427980501402</v>
      </c>
      <c r="H342" s="113">
        <f t="shared" si="245"/>
        <v>78.139897550869918</v>
      </c>
      <c r="I342" s="113">
        <f t="shared" si="245"/>
        <v>92.281802346778335</v>
      </c>
      <c r="J342" s="113">
        <f t="shared" si="245"/>
        <v>106.98914236822664</v>
      </c>
      <c r="K342" s="113">
        <f t="shared" si="245"/>
        <v>122.26191761521483</v>
      </c>
      <c r="L342" s="113">
        <f t="shared" si="245"/>
        <v>131.5239315121361</v>
      </c>
      <c r="M342" s="113">
        <f t="shared" si="245"/>
        <v>134.35110763983556</v>
      </c>
      <c r="N342" s="113">
        <f t="shared" si="245"/>
        <v>137.17828376753499</v>
      </c>
      <c r="O342" s="113">
        <f t="shared" si="245"/>
        <v>140.00545989523442</v>
      </c>
      <c r="P342" s="113">
        <f t="shared" si="245"/>
        <v>142.83263602293388</v>
      </c>
      <c r="Q342" s="113">
        <f t="shared" si="245"/>
        <v>145.65981215063331</v>
      </c>
      <c r="R342" s="113">
        <f t="shared" si="245"/>
        <v>148.48698827833277</v>
      </c>
      <c r="S342" s="113">
        <f t="shared" si="245"/>
        <v>151.31416440603221</v>
      </c>
      <c r="T342" s="113">
        <f t="shared" si="245"/>
        <v>154.14134053373166</v>
      </c>
      <c r="U342" s="113">
        <f t="shared" ref="U342" si="246">(T330+U329/2)*U341</f>
        <v>156.9685166614311</v>
      </c>
      <c r="V342" s="113">
        <f t="shared" ref="V342" si="247">(U330+V329/2)*V341</f>
        <v>159.79569278913053</v>
      </c>
      <c r="W342" s="113">
        <f t="shared" ref="W342" si="248">(V330+W329/2)*W341</f>
        <v>162.62286891682999</v>
      </c>
      <c r="X342" s="113">
        <f t="shared" ref="X342" si="249">(W330+X329/2)*X341</f>
        <v>165.45004504452942</v>
      </c>
      <c r="Y342" s="113">
        <f t="shared" ref="Y342" si="250">(X330+Y329/2)*Y341</f>
        <v>168.27722117222888</v>
      </c>
      <c r="Z342" s="113">
        <f t="shared" ref="Z342" si="251">(Y330+Z329/2)*Z341</f>
        <v>171.10439729992831</v>
      </c>
      <c r="AA342" s="113">
        <f t="shared" ref="AA342" si="252">(Z330+AA329/2)*AA341</f>
        <v>173.93157342762777</v>
      </c>
      <c r="AB342" s="113">
        <f t="shared" ref="AB342" si="253">(AA330+AB329/2)*AB341</f>
        <v>176.7587495553272</v>
      </c>
      <c r="AC342" s="113">
        <f t="shared" ref="AC342" si="254">(AB330+AC329/2)*AC341</f>
        <v>179.58592568302663</v>
      </c>
      <c r="AD342" s="113">
        <f t="shared" ref="AD342" si="255">(AC330+AD329/2)*AD341</f>
        <v>182.41310181072609</v>
      </c>
      <c r="AE342" s="113">
        <f t="shared" ref="AE342" si="256">(AD330+AE329/2)*AE341</f>
        <v>185.24027793842552</v>
      </c>
      <c r="AF342" s="18">
        <f>SUM(B342:AE342)</f>
        <v>3770.8386116080828</v>
      </c>
      <c r="AH342" s="122" t="s">
        <v>305</v>
      </c>
    </row>
    <row r="343" spans="1:34" x14ac:dyDescent="0.25">
      <c r="A343" s="27" t="s">
        <v>312</v>
      </c>
      <c r="B343" s="113">
        <f>B342*$B$425</f>
        <v>0.51626085117570841</v>
      </c>
      <c r="C343" s="113">
        <f t="shared" ref="C343:AE343" si="257">C342*$B$425</f>
        <v>1.5911901954426173</v>
      </c>
      <c r="D343" s="113">
        <f t="shared" si="257"/>
        <v>2.7226630622635146</v>
      </c>
      <c r="E343" s="113">
        <f t="shared" si="257"/>
        <v>3.9106794516384014</v>
      </c>
      <c r="F343" s="113">
        <f t="shared" si="257"/>
        <v>5.1552393635672757</v>
      </c>
      <c r="G343" s="113">
        <f t="shared" si="257"/>
        <v>6.4563427980501409</v>
      </c>
      <c r="H343" s="113">
        <f t="shared" si="257"/>
        <v>7.8139897550869923</v>
      </c>
      <c r="I343" s="113">
        <f t="shared" si="257"/>
        <v>9.2281802346778345</v>
      </c>
      <c r="J343" s="113">
        <f t="shared" si="257"/>
        <v>10.698914236822665</v>
      </c>
      <c r="K343" s="113">
        <f t="shared" si="257"/>
        <v>12.226191761521484</v>
      </c>
      <c r="L343" s="113">
        <f t="shared" si="257"/>
        <v>13.152393151213611</v>
      </c>
      <c r="M343" s="113">
        <f t="shared" si="257"/>
        <v>13.435110763983557</v>
      </c>
      <c r="N343" s="113">
        <f t="shared" si="257"/>
        <v>13.7178283767535</v>
      </c>
      <c r="O343" s="113">
        <f t="shared" si="257"/>
        <v>14.000545989523443</v>
      </c>
      <c r="P343" s="113">
        <f t="shared" si="257"/>
        <v>14.283263602293388</v>
      </c>
      <c r="Q343" s="113">
        <f t="shared" si="257"/>
        <v>14.565981215063331</v>
      </c>
      <c r="R343" s="113">
        <f t="shared" si="257"/>
        <v>14.848698827833278</v>
      </c>
      <c r="S343" s="113">
        <f t="shared" si="257"/>
        <v>15.131416440603221</v>
      </c>
      <c r="T343" s="113">
        <f t="shared" si="257"/>
        <v>15.414134053373168</v>
      </c>
      <c r="U343" s="113">
        <f t="shared" si="257"/>
        <v>15.696851666143111</v>
      </c>
      <c r="V343" s="113">
        <f t="shared" si="257"/>
        <v>15.979569278913054</v>
      </c>
      <c r="W343" s="113">
        <f t="shared" si="257"/>
        <v>16.262286891683001</v>
      </c>
      <c r="X343" s="113">
        <f t="shared" si="257"/>
        <v>16.545004504452944</v>
      </c>
      <c r="Y343" s="113">
        <f t="shared" si="257"/>
        <v>16.827722117222887</v>
      </c>
      <c r="Z343" s="113">
        <f t="shared" si="257"/>
        <v>17.11043972999283</v>
      </c>
      <c r="AA343" s="113">
        <f t="shared" si="257"/>
        <v>17.393157342762777</v>
      </c>
      <c r="AB343" s="113">
        <f t="shared" si="257"/>
        <v>17.67587495553272</v>
      </c>
      <c r="AC343" s="113">
        <f t="shared" si="257"/>
        <v>17.958592568302663</v>
      </c>
      <c r="AD343" s="113">
        <f t="shared" si="257"/>
        <v>18.24131018107261</v>
      </c>
      <c r="AE343" s="113">
        <f t="shared" si="257"/>
        <v>18.524027793842553</v>
      </c>
      <c r="AF343" s="18">
        <f>SUM(B343:AE343)</f>
        <v>377.08386116080834</v>
      </c>
      <c r="AH343" s="122" t="s">
        <v>312</v>
      </c>
    </row>
    <row r="344" spans="1:34" x14ac:dyDescent="0.25">
      <c r="A344" s="27" t="s">
        <v>314</v>
      </c>
      <c r="B344" s="113">
        <f>B342-B343</f>
        <v>4.6463476605813758</v>
      </c>
      <c r="C344" s="113">
        <f>C342-C343</f>
        <v>14.320711758983554</v>
      </c>
      <c r="D344" s="113">
        <f t="shared" ref="D344:AE344" si="258">D342-D343</f>
        <v>24.503967560371631</v>
      </c>
      <c r="E344" s="113">
        <f t="shared" si="258"/>
        <v>35.196115064745612</v>
      </c>
      <c r="F344" s="113">
        <f t="shared" si="258"/>
        <v>46.397154272105482</v>
      </c>
      <c r="G344" s="113">
        <f t="shared" si="258"/>
        <v>58.107085182451257</v>
      </c>
      <c r="H344" s="113">
        <f t="shared" si="258"/>
        <v>70.325907795782925</v>
      </c>
      <c r="I344" s="113">
        <f t="shared" si="258"/>
        <v>83.053622112100498</v>
      </c>
      <c r="J344" s="113">
        <f t="shared" si="258"/>
        <v>96.290228131403978</v>
      </c>
      <c r="K344" s="113">
        <f t="shared" si="258"/>
        <v>110.03572585369335</v>
      </c>
      <c r="L344" s="113">
        <f t="shared" si="258"/>
        <v>118.37153836092249</v>
      </c>
      <c r="M344" s="113">
        <f t="shared" si="258"/>
        <v>120.915996875852</v>
      </c>
      <c r="N344" s="113">
        <f t="shared" si="258"/>
        <v>123.46045539078149</v>
      </c>
      <c r="O344" s="113">
        <f t="shared" si="258"/>
        <v>126.00491390571098</v>
      </c>
      <c r="P344" s="113">
        <f t="shared" si="258"/>
        <v>128.54937242064051</v>
      </c>
      <c r="Q344" s="113">
        <f t="shared" si="258"/>
        <v>131.09383093557</v>
      </c>
      <c r="R344" s="113">
        <f t="shared" si="258"/>
        <v>133.63828945049949</v>
      </c>
      <c r="S344" s="113">
        <f t="shared" si="258"/>
        <v>136.18274796542897</v>
      </c>
      <c r="T344" s="113">
        <f t="shared" si="258"/>
        <v>138.72720648035849</v>
      </c>
      <c r="U344" s="113">
        <f t="shared" si="258"/>
        <v>141.27166499528798</v>
      </c>
      <c r="V344" s="113">
        <f t="shared" si="258"/>
        <v>143.81612351021747</v>
      </c>
      <c r="W344" s="113">
        <f t="shared" si="258"/>
        <v>146.36058202514698</v>
      </c>
      <c r="X344" s="113">
        <f t="shared" si="258"/>
        <v>148.90504054007647</v>
      </c>
      <c r="Y344" s="113">
        <f t="shared" si="258"/>
        <v>151.44949905500599</v>
      </c>
      <c r="Z344" s="113">
        <f t="shared" si="258"/>
        <v>153.99395756993547</v>
      </c>
      <c r="AA344" s="113">
        <f t="shared" si="258"/>
        <v>156.53841608486499</v>
      </c>
      <c r="AB344" s="113">
        <f t="shared" si="258"/>
        <v>159.08287459979448</v>
      </c>
      <c r="AC344" s="113">
        <f t="shared" si="258"/>
        <v>161.62733311472397</v>
      </c>
      <c r="AD344" s="113">
        <f t="shared" si="258"/>
        <v>164.17179162965348</v>
      </c>
      <c r="AE344" s="113">
        <f t="shared" si="258"/>
        <v>166.71625014458297</v>
      </c>
      <c r="AF344" s="18">
        <f>SUM(B344:AE344)</f>
        <v>3393.7547504472741</v>
      </c>
      <c r="AH344" s="122" t="s">
        <v>314</v>
      </c>
    </row>
    <row r="345" spans="1:34" x14ac:dyDescent="0.25">
      <c r="A345" s="27" t="s">
        <v>317</v>
      </c>
      <c r="B345" s="124">
        <f>B344/(B329/2)</f>
        <v>4.9303765850225785E-2</v>
      </c>
      <c r="C345" s="124">
        <f>C344/(B330+C329/2)</f>
        <v>5.0653765850225789E-2</v>
      </c>
      <c r="D345" s="124">
        <f t="shared" ref="D345:AE345" si="259">D344/(C330+D329/2)</f>
        <v>5.2003765850225793E-2</v>
      </c>
      <c r="E345" s="124">
        <f t="shared" si="259"/>
        <v>5.3353765850225797E-2</v>
      </c>
      <c r="F345" s="124">
        <f t="shared" si="259"/>
        <v>5.4703765850225794E-2</v>
      </c>
      <c r="G345" s="124">
        <f t="shared" si="259"/>
        <v>5.6053765850225798E-2</v>
      </c>
      <c r="H345" s="124">
        <f t="shared" si="259"/>
        <v>5.7403765850225788E-2</v>
      </c>
      <c r="I345" s="124">
        <f t="shared" si="259"/>
        <v>5.8753765850225792E-2</v>
      </c>
      <c r="J345" s="124">
        <f t="shared" si="259"/>
        <v>6.0103765850225803E-2</v>
      </c>
      <c r="K345" s="124">
        <f t="shared" si="259"/>
        <v>6.14537658502258E-2</v>
      </c>
      <c r="L345" s="124">
        <f t="shared" si="259"/>
        <v>6.280376585022579E-2</v>
      </c>
      <c r="M345" s="124">
        <f t="shared" si="259"/>
        <v>6.4153765850225808E-2</v>
      </c>
      <c r="N345" s="124">
        <f t="shared" si="259"/>
        <v>6.5503765850225798E-2</v>
      </c>
      <c r="O345" s="124">
        <f t="shared" si="259"/>
        <v>6.6853765850225802E-2</v>
      </c>
      <c r="P345" s="124">
        <f t="shared" si="259"/>
        <v>6.820376585022582E-2</v>
      </c>
      <c r="Q345" s="124">
        <f t="shared" si="259"/>
        <v>6.955376585022581E-2</v>
      </c>
      <c r="R345" s="124">
        <f t="shared" si="259"/>
        <v>7.09037658502258E-2</v>
      </c>
      <c r="S345" s="124">
        <f t="shared" si="259"/>
        <v>7.2253765850225804E-2</v>
      </c>
      <c r="T345" s="124">
        <f t="shared" si="259"/>
        <v>7.3603765850225808E-2</v>
      </c>
      <c r="U345" s="124">
        <f t="shared" si="259"/>
        <v>7.4953765850225812E-2</v>
      </c>
      <c r="V345" s="124">
        <f t="shared" si="259"/>
        <v>7.6303765850225802E-2</v>
      </c>
      <c r="W345" s="124">
        <f t="shared" si="259"/>
        <v>7.765376585022582E-2</v>
      </c>
      <c r="X345" s="124">
        <f t="shared" si="259"/>
        <v>7.900376585022581E-2</v>
      </c>
      <c r="Y345" s="124">
        <f t="shared" si="259"/>
        <v>8.0353765850225814E-2</v>
      </c>
      <c r="Z345" s="124">
        <f t="shared" si="259"/>
        <v>8.1703765850225818E-2</v>
      </c>
      <c r="AA345" s="124">
        <f t="shared" si="259"/>
        <v>8.3053765850225822E-2</v>
      </c>
      <c r="AB345" s="124">
        <f t="shared" si="259"/>
        <v>8.4403765850225826E-2</v>
      </c>
      <c r="AC345" s="124">
        <f t="shared" si="259"/>
        <v>8.5753765850225816E-2</v>
      </c>
      <c r="AD345" s="124">
        <f t="shared" si="259"/>
        <v>8.7103765850225834E-2</v>
      </c>
      <c r="AE345" s="124">
        <f t="shared" si="259"/>
        <v>8.8453765850225824E-2</v>
      </c>
      <c r="AF345" s="18"/>
      <c r="AH345" s="122" t="s">
        <v>317</v>
      </c>
    </row>
    <row r="346" spans="1:34" x14ac:dyDescent="0.25">
      <c r="A346" s="27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"/>
      <c r="AH346" s="122"/>
    </row>
    <row r="347" spans="1:34" x14ac:dyDescent="0.25">
      <c r="A347" s="27" t="s">
        <v>323</v>
      </c>
      <c r="B347" s="113">
        <f>B344-B339</f>
        <v>1.8191715328819349</v>
      </c>
      <c r="C347" s="113">
        <f t="shared" ref="C347:AE347" si="260">C344-C339</f>
        <v>4.6611933226771303</v>
      </c>
      <c r="D347" s="113">
        <f t="shared" si="260"/>
        <v>6.7685262760874956</v>
      </c>
      <c r="E347" s="113">
        <f t="shared" si="260"/>
        <v>8.173400200968814</v>
      </c>
      <c r="F347" s="113">
        <f t="shared" si="260"/>
        <v>8.9116259949385892</v>
      </c>
      <c r="G347" s="113">
        <f t="shared" si="260"/>
        <v>9.0225956453761285</v>
      </c>
      <c r="H347" s="113">
        <f t="shared" si="260"/>
        <v>8.5492822294224453</v>
      </c>
      <c r="I347" s="113">
        <f t="shared" si="260"/>
        <v>7.538239913980334</v>
      </c>
      <c r="J347" s="113">
        <f t="shared" si="260"/>
        <v>6.0396039557143268</v>
      </c>
      <c r="K347" s="113">
        <f t="shared" si="260"/>
        <v>4.1070907010507227</v>
      </c>
      <c r="L347" s="113">
        <f t="shared" si="260"/>
        <v>4.1253510405881002</v>
      </c>
      <c r="M347" s="113">
        <f t="shared" si="260"/>
        <v>2.2916917237643872</v>
      </c>
      <c r="N347" s="113">
        <f t="shared" si="260"/>
        <v>0.73556686347647826</v>
      </c>
      <c r="O347" s="113">
        <f t="shared" si="260"/>
        <v>-0.52959445366902003</v>
      </c>
      <c r="P347" s="113">
        <f t="shared" si="260"/>
        <v>-1.4903631410655294</v>
      </c>
      <c r="Q347" s="113">
        <f t="shared" si="260"/>
        <v>-2.1333101121065283</v>
      </c>
      <c r="R347" s="113">
        <f t="shared" si="260"/>
        <v>-2.445006280185396</v>
      </c>
      <c r="S347" s="113">
        <f t="shared" si="260"/>
        <v>-2.4120225586955826</v>
      </c>
      <c r="T347" s="113">
        <f t="shared" si="260"/>
        <v>-2.0209298610304529</v>
      </c>
      <c r="U347" s="113">
        <f t="shared" si="260"/>
        <v>-1.2582991005835424</v>
      </c>
      <c r="V347" s="113">
        <f t="shared" si="260"/>
        <v>-0.11070119074824447</v>
      </c>
      <c r="W347" s="113">
        <f t="shared" si="260"/>
        <v>1.4352929550821045</v>
      </c>
      <c r="X347" s="113">
        <f t="shared" si="260"/>
        <v>3.3931124235139407</v>
      </c>
      <c r="Y347" s="113">
        <f t="shared" si="260"/>
        <v>5.776186301153956</v>
      </c>
      <c r="Z347" s="113">
        <f t="shared" si="260"/>
        <v>8.5979436746086435</v>
      </c>
      <c r="AA347" s="113">
        <f t="shared" si="260"/>
        <v>11.87181363048461</v>
      </c>
      <c r="AB347" s="113">
        <f t="shared" si="260"/>
        <v>15.611225255388405</v>
      </c>
      <c r="AC347" s="113">
        <f t="shared" si="260"/>
        <v>19.829607635926607</v>
      </c>
      <c r="AD347" s="113">
        <f t="shared" si="260"/>
        <v>24.540389858705822</v>
      </c>
      <c r="AE347" s="113">
        <f t="shared" si="260"/>
        <v>29.757001010332601</v>
      </c>
      <c r="AF347" s="18">
        <f>SUM(B347:AE347)</f>
        <v>181.15568544803926</v>
      </c>
      <c r="AH347" s="122" t="s">
        <v>323</v>
      </c>
    </row>
    <row r="348" spans="1:34" x14ac:dyDescent="0.25">
      <c r="A348" s="27" t="s">
        <v>308</v>
      </c>
      <c r="B348" s="113">
        <f>B347</f>
        <v>1.8191715328819349</v>
      </c>
      <c r="C348" s="113">
        <f>B348+C347</f>
        <v>6.4803648555590652</v>
      </c>
      <c r="D348" s="113">
        <f t="shared" ref="D348:AE348" si="261">C348+D347</f>
        <v>13.248891131646561</v>
      </c>
      <c r="E348" s="113">
        <f t="shared" si="261"/>
        <v>21.422291332615373</v>
      </c>
      <c r="F348" s="113">
        <f t="shared" si="261"/>
        <v>30.333917327553962</v>
      </c>
      <c r="G348" s="113">
        <f t="shared" si="261"/>
        <v>39.356512972930091</v>
      </c>
      <c r="H348" s="113">
        <f t="shared" si="261"/>
        <v>47.905795202352536</v>
      </c>
      <c r="I348" s="113">
        <f t="shared" si="261"/>
        <v>55.44403511633287</v>
      </c>
      <c r="J348" s="113">
        <f t="shared" si="261"/>
        <v>61.483639072047197</v>
      </c>
      <c r="K348" s="113">
        <f t="shared" si="261"/>
        <v>65.59072977309792</v>
      </c>
      <c r="L348" s="113">
        <f t="shared" si="261"/>
        <v>69.71608081368602</v>
      </c>
      <c r="M348" s="113">
        <f t="shared" si="261"/>
        <v>72.007772537450407</v>
      </c>
      <c r="N348" s="113">
        <f t="shared" si="261"/>
        <v>72.743339400926885</v>
      </c>
      <c r="O348" s="113">
        <f t="shared" si="261"/>
        <v>72.213744947257865</v>
      </c>
      <c r="P348" s="113">
        <f t="shared" si="261"/>
        <v>70.723381806192336</v>
      </c>
      <c r="Q348" s="113">
        <f t="shared" si="261"/>
        <v>68.590071694085808</v>
      </c>
      <c r="R348" s="113">
        <f t="shared" si="261"/>
        <v>66.145065413900411</v>
      </c>
      <c r="S348" s="113">
        <f t="shared" si="261"/>
        <v>63.733042855204829</v>
      </c>
      <c r="T348" s="113">
        <f t="shared" si="261"/>
        <v>61.712112994174376</v>
      </c>
      <c r="U348" s="113">
        <f t="shared" si="261"/>
        <v>60.453813893590834</v>
      </c>
      <c r="V348" s="113">
        <f t="shared" si="261"/>
        <v>60.343112702842589</v>
      </c>
      <c r="W348" s="113">
        <f t="shared" si="261"/>
        <v>61.778405657924694</v>
      </c>
      <c r="X348" s="113">
        <f t="shared" si="261"/>
        <v>65.171518081438634</v>
      </c>
      <c r="Y348" s="113">
        <f t="shared" si="261"/>
        <v>70.94770438259259</v>
      </c>
      <c r="Z348" s="113">
        <f t="shared" si="261"/>
        <v>79.545648057201234</v>
      </c>
      <c r="AA348" s="113">
        <f t="shared" si="261"/>
        <v>91.417461687685844</v>
      </c>
      <c r="AB348" s="113">
        <f t="shared" si="261"/>
        <v>107.02868694307425</v>
      </c>
      <c r="AC348" s="113">
        <f t="shared" si="261"/>
        <v>126.85829457900086</v>
      </c>
      <c r="AD348" s="113">
        <f t="shared" si="261"/>
        <v>151.39868443770666</v>
      </c>
      <c r="AE348" s="113">
        <f t="shared" si="261"/>
        <v>181.15568544803926</v>
      </c>
      <c r="AF348" s="1"/>
      <c r="AH348" s="122" t="s">
        <v>308</v>
      </c>
    </row>
    <row r="349" spans="1:34" x14ac:dyDescent="0.25">
      <c r="A349" s="27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"/>
    </row>
    <row r="350" spans="1:34" x14ac:dyDescent="0.25">
      <c r="A350" s="27" t="s">
        <v>324</v>
      </c>
      <c r="B350" s="101">
        <f>B344-B329</f>
        <v>-183.8320608527147</v>
      </c>
      <c r="C350" s="101">
        <f t="shared" ref="C350:AE350" si="262">C344-C329</f>
        <v>-174.15769675431252</v>
      </c>
      <c r="D350" s="101">
        <f t="shared" si="262"/>
        <v>-163.97444095292445</v>
      </c>
      <c r="E350" s="101">
        <f t="shared" si="262"/>
        <v>-153.28229344855046</v>
      </c>
      <c r="F350" s="101">
        <f t="shared" si="262"/>
        <v>-142.08125424119061</v>
      </c>
      <c r="G350" s="101">
        <f t="shared" si="262"/>
        <v>-130.3713233308448</v>
      </c>
      <c r="H350" s="101">
        <f t="shared" si="262"/>
        <v>-118.15250071751315</v>
      </c>
      <c r="I350" s="101">
        <f t="shared" si="262"/>
        <v>-105.42478640119558</v>
      </c>
      <c r="J350" s="101">
        <f t="shared" si="262"/>
        <v>-92.188180381892096</v>
      </c>
      <c r="K350" s="101">
        <f t="shared" si="262"/>
        <v>-78.442682659602724</v>
      </c>
      <c r="L350" s="101">
        <f t="shared" si="262"/>
        <v>118.37153836092249</v>
      </c>
      <c r="M350" s="101">
        <f t="shared" si="262"/>
        <v>120.915996875852</v>
      </c>
      <c r="N350" s="101">
        <f t="shared" si="262"/>
        <v>123.46045539078149</v>
      </c>
      <c r="O350" s="101">
        <f t="shared" si="262"/>
        <v>126.00491390571098</v>
      </c>
      <c r="P350" s="101">
        <f t="shared" si="262"/>
        <v>128.54937242064051</v>
      </c>
      <c r="Q350" s="101">
        <f t="shared" si="262"/>
        <v>131.09383093557</v>
      </c>
      <c r="R350" s="101">
        <f t="shared" si="262"/>
        <v>133.63828945049949</v>
      </c>
      <c r="S350" s="101">
        <f t="shared" si="262"/>
        <v>136.18274796542897</v>
      </c>
      <c r="T350" s="101">
        <f t="shared" si="262"/>
        <v>138.72720648035849</v>
      </c>
      <c r="U350" s="101">
        <f t="shared" si="262"/>
        <v>141.27166499528798</v>
      </c>
      <c r="V350" s="101">
        <f t="shared" si="262"/>
        <v>143.81612351021747</v>
      </c>
      <c r="W350" s="101">
        <f t="shared" si="262"/>
        <v>146.36058202514698</v>
      </c>
      <c r="X350" s="101">
        <f t="shared" si="262"/>
        <v>148.90504054007647</v>
      </c>
      <c r="Y350" s="101">
        <f t="shared" si="262"/>
        <v>151.44949905500599</v>
      </c>
      <c r="Z350" s="101">
        <f t="shared" si="262"/>
        <v>153.99395756993547</v>
      </c>
      <c r="AA350" s="101">
        <f t="shared" si="262"/>
        <v>156.53841608486499</v>
      </c>
      <c r="AB350" s="101">
        <f t="shared" si="262"/>
        <v>159.08287459979448</v>
      </c>
      <c r="AC350" s="101">
        <f t="shared" si="262"/>
        <v>161.62733311472397</v>
      </c>
      <c r="AD350" s="101">
        <f t="shared" si="262"/>
        <v>164.17179162965348</v>
      </c>
      <c r="AE350" s="101">
        <f t="shared" si="262"/>
        <v>166.71625014458297</v>
      </c>
      <c r="AF350" s="18">
        <f>SUM(B350:AE350)</f>
        <v>1508.970665314313</v>
      </c>
      <c r="AH350" s="122" t="s">
        <v>324</v>
      </c>
    </row>
    <row r="351" spans="1:34" x14ac:dyDescent="0.25">
      <c r="A351" s="27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"/>
    </row>
    <row r="352" spans="1:34" x14ac:dyDescent="0.25">
      <c r="A352" s="27" t="s">
        <v>325</v>
      </c>
      <c r="B352" s="125">
        <f>IRR(B350:AE350, 0.1)</f>
        <v>4.9161532857227686E-2</v>
      </c>
      <c r="C352" s="122" t="s">
        <v>156</v>
      </c>
      <c r="D352" s="43"/>
      <c r="AF352" s="1"/>
    </row>
    <row r="353" spans="1:32" x14ac:dyDescent="0.25">
      <c r="A353" s="27"/>
      <c r="B353" s="125"/>
      <c r="C353" s="122"/>
      <c r="D353" s="43"/>
      <c r="AF353" s="1"/>
    </row>
    <row r="354" spans="1:32" x14ac:dyDescent="0.25">
      <c r="A354" s="1" t="s">
        <v>2</v>
      </c>
      <c r="B354" s="27"/>
      <c r="C354" s="27"/>
      <c r="AF354" s="1"/>
    </row>
    <row r="355" spans="1:32" x14ac:dyDescent="0.25">
      <c r="A355" t="s">
        <v>44</v>
      </c>
      <c r="AF355" s="1"/>
    </row>
    <row r="357" spans="1:32" x14ac:dyDescent="0.25">
      <c r="A357" t="s">
        <v>45</v>
      </c>
    </row>
    <row r="359" spans="1:32" x14ac:dyDescent="0.25">
      <c r="A359" t="s">
        <v>46</v>
      </c>
    </row>
    <row r="360" spans="1:32" x14ac:dyDescent="0.25">
      <c r="A360" t="s">
        <v>30</v>
      </c>
    </row>
    <row r="361" spans="1:32" x14ac:dyDescent="0.25">
      <c r="A361" t="s">
        <v>48</v>
      </c>
    </row>
    <row r="362" spans="1:32" x14ac:dyDescent="0.25">
      <c r="A362" t="s">
        <v>47</v>
      </c>
    </row>
    <row r="364" spans="1:32" x14ac:dyDescent="0.25">
      <c r="A364" t="s">
        <v>221</v>
      </c>
    </row>
    <row r="365" spans="1:32" x14ac:dyDescent="0.25">
      <c r="A365" t="s">
        <v>50</v>
      </c>
      <c r="B365" s="9">
        <f>(5+6/2)*2.5*((8*1.84)/(5+6+5))*B367</f>
        <v>3.7864077669902918</v>
      </c>
      <c r="C365" t="s">
        <v>51</v>
      </c>
    </row>
    <row r="366" spans="1:32" x14ac:dyDescent="0.25">
      <c r="B366" s="9"/>
    </row>
    <row r="367" spans="1:32" x14ac:dyDescent="0.25">
      <c r="A367" t="s">
        <v>133</v>
      </c>
      <c r="B367" s="8">
        <f>0.39/(1.84*1.03)</f>
        <v>0.20578303081468974</v>
      </c>
      <c r="C367" t="s">
        <v>49</v>
      </c>
      <c r="E367" s="8"/>
    </row>
    <row r="368" spans="1:32" x14ac:dyDescent="0.25">
      <c r="B368" s="8"/>
      <c r="E368" s="8"/>
    </row>
    <row r="369" spans="1:5" x14ac:dyDescent="0.25">
      <c r="A369" t="s">
        <v>134</v>
      </c>
    </row>
    <row r="370" spans="1:5" x14ac:dyDescent="0.25">
      <c r="A370" t="s">
        <v>54</v>
      </c>
    </row>
    <row r="371" spans="1:5" x14ac:dyDescent="0.25">
      <c r="A371" t="s">
        <v>53</v>
      </c>
    </row>
    <row r="373" spans="1:5" ht="15.75" x14ac:dyDescent="0.25">
      <c r="A373" t="s">
        <v>135</v>
      </c>
      <c r="B373" s="20"/>
      <c r="E373" s="20"/>
    </row>
    <row r="374" spans="1:5" x14ac:dyDescent="0.25">
      <c r="A374" t="s">
        <v>60</v>
      </c>
      <c r="B374">
        <v>33</v>
      </c>
      <c r="C374" t="s">
        <v>59</v>
      </c>
    </row>
    <row r="376" spans="1:5" x14ac:dyDescent="0.25">
      <c r="A376" t="s">
        <v>136</v>
      </c>
      <c r="B376">
        <v>19</v>
      </c>
      <c r="C376" t="s">
        <v>59</v>
      </c>
    </row>
    <row r="378" spans="1:5" x14ac:dyDescent="0.25">
      <c r="A378" t="s">
        <v>137</v>
      </c>
      <c r="B378" s="12">
        <v>3</v>
      </c>
    </row>
    <row r="379" spans="1:5" x14ac:dyDescent="0.25">
      <c r="B379" s="12"/>
    </row>
    <row r="380" spans="1:5" x14ac:dyDescent="0.25">
      <c r="A380" t="s">
        <v>138</v>
      </c>
      <c r="B380">
        <v>0.3</v>
      </c>
    </row>
    <row r="382" spans="1:5" x14ac:dyDescent="0.25">
      <c r="A382" t="s">
        <v>158</v>
      </c>
    </row>
    <row r="383" spans="1:5" x14ac:dyDescent="0.25">
      <c r="A383" t="s">
        <v>139</v>
      </c>
      <c r="B383" s="14">
        <v>7.0000000000000007E-2</v>
      </c>
    </row>
    <row r="385" spans="1:3" x14ac:dyDescent="0.25">
      <c r="A385" t="s">
        <v>157</v>
      </c>
    </row>
    <row r="386" spans="1:3" x14ac:dyDescent="0.25">
      <c r="A386" t="s">
        <v>154</v>
      </c>
    </row>
    <row r="387" spans="1:3" x14ac:dyDescent="0.25">
      <c r="A387" t="s">
        <v>155</v>
      </c>
      <c r="B387" s="14">
        <v>7.0000000000000007E-2</v>
      </c>
      <c r="C387" t="s">
        <v>156</v>
      </c>
    </row>
    <row r="388" spans="1:3" x14ac:dyDescent="0.25">
      <c r="A388" t="s">
        <v>159</v>
      </c>
    </row>
    <row r="389" spans="1:3" x14ac:dyDescent="0.25">
      <c r="A389" t="s">
        <v>160</v>
      </c>
    </row>
    <row r="391" spans="1:3" x14ac:dyDescent="0.25">
      <c r="A391" t="s">
        <v>223</v>
      </c>
    </row>
    <row r="392" spans="1:3" x14ac:dyDescent="0.25">
      <c r="A392" t="s">
        <v>210</v>
      </c>
    </row>
    <row r="394" spans="1:3" x14ac:dyDescent="0.25">
      <c r="A394" t="s">
        <v>224</v>
      </c>
    </row>
    <row r="395" spans="1:3" x14ac:dyDescent="0.25">
      <c r="A395" t="s">
        <v>211</v>
      </c>
    </row>
    <row r="397" spans="1:3" x14ac:dyDescent="0.25">
      <c r="A397" t="s">
        <v>225</v>
      </c>
      <c r="B397" s="14">
        <v>7.0000000000000007E-2</v>
      </c>
      <c r="C397" t="s">
        <v>156</v>
      </c>
    </row>
    <row r="399" spans="1:3" x14ac:dyDescent="0.25">
      <c r="A399" t="s">
        <v>235</v>
      </c>
    </row>
    <row r="400" spans="1:3" x14ac:dyDescent="0.25">
      <c r="A400" s="87" t="s">
        <v>234</v>
      </c>
    </row>
    <row r="402" spans="1:3" x14ac:dyDescent="0.25">
      <c r="A402" s="92" t="s">
        <v>247</v>
      </c>
    </row>
    <row r="403" spans="1:3" x14ac:dyDescent="0.25">
      <c r="A403" s="87" t="s">
        <v>234</v>
      </c>
    </row>
    <row r="405" spans="1:3" x14ac:dyDescent="0.25">
      <c r="A405" s="87" t="s">
        <v>268</v>
      </c>
    </row>
    <row r="406" spans="1:3" x14ac:dyDescent="0.25">
      <c r="A406" s="87" t="s">
        <v>282</v>
      </c>
    </row>
    <row r="407" spans="1:3" x14ac:dyDescent="0.25">
      <c r="A407" s="87" t="s">
        <v>283</v>
      </c>
    </row>
    <row r="409" spans="1:3" x14ac:dyDescent="0.25">
      <c r="A409" s="87" t="s">
        <v>273</v>
      </c>
    </row>
    <row r="411" spans="1:3" x14ac:dyDescent="0.25">
      <c r="A411" s="87" t="s">
        <v>274</v>
      </c>
      <c r="B411" s="77">
        <f>4.55*1.5</f>
        <v>6.8249999999999993</v>
      </c>
      <c r="C411" s="1" t="s">
        <v>272</v>
      </c>
    </row>
    <row r="413" spans="1:3" x14ac:dyDescent="0.25">
      <c r="A413" s="87" t="s">
        <v>284</v>
      </c>
    </row>
    <row r="414" spans="1:3" x14ac:dyDescent="0.25">
      <c r="A414" s="87" t="s">
        <v>369</v>
      </c>
    </row>
    <row r="415" spans="1:3" x14ac:dyDescent="0.25">
      <c r="A415" s="87" t="s">
        <v>283</v>
      </c>
    </row>
    <row r="417" spans="1:3" x14ac:dyDescent="0.25">
      <c r="A417" s="87" t="s">
        <v>292</v>
      </c>
    </row>
    <row r="419" spans="1:3" x14ac:dyDescent="0.25">
      <c r="A419" s="87" t="s">
        <v>296</v>
      </c>
      <c r="B419">
        <v>10</v>
      </c>
      <c r="C419" t="s">
        <v>295</v>
      </c>
    </row>
    <row r="421" spans="1:3" x14ac:dyDescent="0.25">
      <c r="A421" t="s">
        <v>322</v>
      </c>
      <c r="B421" s="14">
        <v>0.03</v>
      </c>
      <c r="C421" t="s">
        <v>156</v>
      </c>
    </row>
    <row r="423" spans="1:3" x14ac:dyDescent="0.25">
      <c r="A423" t="s">
        <v>306</v>
      </c>
      <c r="B423" s="120">
        <v>1.5E-3</v>
      </c>
      <c r="C423" t="s">
        <v>156</v>
      </c>
    </row>
    <row r="425" spans="1:3" x14ac:dyDescent="0.25">
      <c r="A425" t="s">
        <v>313</v>
      </c>
      <c r="B425" s="123">
        <v>0.1</v>
      </c>
      <c r="C425" t="s">
        <v>315</v>
      </c>
    </row>
    <row r="426" spans="1:3" x14ac:dyDescent="0.25">
      <c r="A426" t="s">
        <v>316</v>
      </c>
    </row>
    <row r="428" spans="1:3" x14ac:dyDescent="0.25">
      <c r="A428" t="s">
        <v>319</v>
      </c>
      <c r="B428" s="120">
        <v>1E-3</v>
      </c>
      <c r="C428" t="s">
        <v>156</v>
      </c>
    </row>
    <row r="430" spans="1:3" x14ac:dyDescent="0.25">
      <c r="A430" t="s">
        <v>355</v>
      </c>
    </row>
    <row r="431" spans="1:3" x14ac:dyDescent="0.25">
      <c r="A431" s="3" t="s">
        <v>326</v>
      </c>
      <c r="B431" s="106">
        <v>8</v>
      </c>
      <c r="C431" t="s">
        <v>327</v>
      </c>
    </row>
    <row r="432" spans="1:3" x14ac:dyDescent="0.25">
      <c r="A432" s="3" t="s">
        <v>328</v>
      </c>
      <c r="B432" s="106">
        <v>10</v>
      </c>
      <c r="C432" t="s">
        <v>327</v>
      </c>
    </row>
    <row r="433" spans="1:3" x14ac:dyDescent="0.25">
      <c r="A433" s="3" t="s">
        <v>330</v>
      </c>
      <c r="B433" s="106">
        <v>100</v>
      </c>
      <c r="C433" t="s">
        <v>327</v>
      </c>
    </row>
    <row r="434" spans="1:3" x14ac:dyDescent="0.25">
      <c r="A434" s="3" t="s">
        <v>329</v>
      </c>
      <c r="B434" s="106">
        <v>150</v>
      </c>
      <c r="C434" t="s">
        <v>327</v>
      </c>
    </row>
    <row r="435" spans="1:3" x14ac:dyDescent="0.25">
      <c r="A435" s="3" t="s">
        <v>331</v>
      </c>
      <c r="B435" s="127">
        <v>0.25</v>
      </c>
    </row>
    <row r="436" spans="1:3" x14ac:dyDescent="0.25">
      <c r="A436" s="3" t="s">
        <v>332</v>
      </c>
      <c r="B436" s="12">
        <v>2.6</v>
      </c>
      <c r="C436" t="s">
        <v>59</v>
      </c>
    </row>
    <row r="438" spans="1:3" x14ac:dyDescent="0.25">
      <c r="A438" s="92" t="s">
        <v>354</v>
      </c>
      <c r="B438">
        <v>20</v>
      </c>
      <c r="C438" t="s">
        <v>295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Manchester</vt:lpstr>
      <vt:lpstr>UK</vt:lpstr>
      <vt:lpstr>UK!_Hlk86398048</vt:lpstr>
      <vt:lpstr>Manchester!Print_Area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Wylie</dc:creator>
  <cp:lastModifiedBy>Windows User</cp:lastModifiedBy>
  <cp:lastPrinted>2022-01-17T18:30:16Z</cp:lastPrinted>
  <dcterms:created xsi:type="dcterms:W3CDTF">2021-11-08T12:00:44Z</dcterms:created>
  <dcterms:modified xsi:type="dcterms:W3CDTF">2022-01-17T18:30:23Z</dcterms:modified>
</cp:coreProperties>
</file>